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ocuments\1-HUAUTLA 2018-2020 (JAIME)\INFORME ANUAL MUNICIPAL DE LA CUENTA PUBLICA 2019\INFORMACION ADICIONAL 2019\"/>
    </mc:Choice>
  </mc:AlternateContent>
  <bookViews>
    <workbookView xWindow="0" yWindow="0" windowWidth="20490" windowHeight="7755" firstSheet="4" activeTab="4"/>
  </bookViews>
  <sheets>
    <sheet name="FR-02-Abril-2019" sheetId="6" r:id="rId1"/>
    <sheet name="FR-02-Mayo-2019" sheetId="7" r:id="rId2"/>
    <sheet name="FR-02-Jun-2019" sheetId="8" r:id="rId3"/>
    <sheet name="FR-02-JUL-2019" sheetId="9" r:id="rId4"/>
    <sheet name="FR-02-DIC-2019" sheetId="16" r:id="rId5"/>
  </sheets>
  <definedNames>
    <definedName name="_xlnm.Print_Area" localSheetId="0">'FR-02-Abril-2019'!$A$1:$L$41</definedName>
    <definedName name="_xlnm.Print_Area" localSheetId="4">'FR-02-DIC-2019'!$A$1:$L$44</definedName>
    <definedName name="_xlnm.Print_Area" localSheetId="3">'FR-02-JUL-2019'!$A$1:$L$41</definedName>
    <definedName name="_xlnm.Print_Area" localSheetId="2">'FR-02-Jun-2019'!$A$1:$L$41</definedName>
    <definedName name="_xlnm.Print_Area" localSheetId="1">'FR-02-Mayo-2019'!$A$1:$L$41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6" l="1"/>
  <c r="J13" i="16"/>
  <c r="J12" i="16"/>
  <c r="E12" i="16"/>
  <c r="L14" i="16" l="1"/>
  <c r="L15" i="16"/>
  <c r="L16" i="16"/>
  <c r="L17" i="16"/>
  <c r="L18" i="16"/>
  <c r="L19" i="16"/>
  <c r="L20" i="16"/>
  <c r="L21" i="16"/>
  <c r="L22" i="16"/>
  <c r="L23" i="16"/>
  <c r="L24" i="16"/>
  <c r="C12" i="16" l="1"/>
  <c r="L12" i="16" s="1"/>
  <c r="I16" i="16"/>
  <c r="J16" i="16" l="1"/>
  <c r="I12" i="16"/>
  <c r="C13" i="16" l="1"/>
  <c r="L13" i="16" s="1"/>
  <c r="I14" i="16" l="1"/>
  <c r="I26" i="16" s="1"/>
  <c r="H12" i="16"/>
  <c r="H26" i="16" s="1"/>
  <c r="J26" i="16"/>
  <c r="J14" i="16"/>
  <c r="F12" i="16"/>
  <c r="D24" i="16"/>
  <c r="G24" i="16" s="1"/>
  <c r="D23" i="16"/>
  <c r="D21" i="16"/>
  <c r="G21" i="16" s="1"/>
  <c r="D20" i="16"/>
  <c r="G20" i="16" s="1"/>
  <c r="D19" i="16"/>
  <c r="G19" i="16" s="1"/>
  <c r="D18" i="16"/>
  <c r="D17" i="16"/>
  <c r="D16" i="16"/>
  <c r="G16" i="16" s="1"/>
  <c r="D13" i="16"/>
  <c r="G13" i="16" s="1"/>
  <c r="C108" i="16"/>
  <c r="I33" i="16"/>
  <c r="B26" i="16"/>
  <c r="K24" i="16"/>
  <c r="F24" i="16"/>
  <c r="K23" i="16"/>
  <c r="G23" i="16"/>
  <c r="F23" i="16"/>
  <c r="K22" i="16"/>
  <c r="G22" i="16"/>
  <c r="M22" i="16" s="1"/>
  <c r="F22" i="16"/>
  <c r="K21" i="16"/>
  <c r="F21" i="16"/>
  <c r="K20" i="16"/>
  <c r="F20" i="16"/>
  <c r="K19" i="16"/>
  <c r="F19" i="16"/>
  <c r="K18" i="16"/>
  <c r="G18" i="16"/>
  <c r="F18" i="16"/>
  <c r="K17" i="16"/>
  <c r="F17" i="16"/>
  <c r="G17" i="16"/>
  <c r="F16" i="16"/>
  <c r="K15" i="16"/>
  <c r="G15" i="16"/>
  <c r="K14" i="16"/>
  <c r="G14" i="16"/>
  <c r="G12" i="16"/>
  <c r="M17" i="16" l="1"/>
  <c r="K16" i="16"/>
  <c r="M16" i="16" s="1"/>
  <c r="K12" i="16"/>
  <c r="M12" i="16" s="1"/>
  <c r="M23" i="16"/>
  <c r="M21" i="16"/>
  <c r="M20" i="16"/>
  <c r="M18" i="16"/>
  <c r="E26" i="16"/>
  <c r="D26" i="16"/>
  <c r="C109" i="16" s="1"/>
  <c r="M24" i="16"/>
  <c r="G26" i="16"/>
  <c r="M15" i="16"/>
  <c r="M14" i="16"/>
  <c r="M19" i="16"/>
  <c r="L26" i="16"/>
  <c r="C26" i="16"/>
  <c r="F13" i="16"/>
  <c r="K13" i="16"/>
  <c r="M13" i="16" s="1"/>
  <c r="F14" i="16"/>
  <c r="F15" i="16"/>
  <c r="F26" i="16" l="1"/>
  <c r="D110" i="16"/>
  <c r="D112" i="16" s="1"/>
  <c r="D113" i="16" s="1"/>
  <c r="C110" i="16"/>
  <c r="C111" i="16" s="1"/>
  <c r="C113" i="16" s="1"/>
  <c r="K26" i="16"/>
  <c r="J14" i="9" l="1"/>
  <c r="J17" i="9"/>
  <c r="E14" i="9" l="1"/>
  <c r="I14" i="9" l="1"/>
  <c r="J13" i="9"/>
  <c r="H13" i="9"/>
  <c r="K16" i="9" l="1"/>
  <c r="J15" i="9"/>
  <c r="I16" i="9"/>
  <c r="H19" i="9"/>
  <c r="H24" i="9"/>
  <c r="H22" i="9"/>
  <c r="H21" i="9"/>
  <c r="H20" i="9"/>
  <c r="H17" i="9"/>
  <c r="H16" i="9"/>
  <c r="H15" i="9"/>
  <c r="H23" i="9" l="1"/>
  <c r="E27" i="9"/>
  <c r="E20" i="9"/>
  <c r="E15" i="9"/>
  <c r="E24" i="9"/>
  <c r="E13" i="9"/>
  <c r="C105" i="9"/>
  <c r="C14" i="9"/>
  <c r="C106" i="9"/>
  <c r="C13" i="9"/>
  <c r="C27" i="9" l="1"/>
  <c r="I34" i="9"/>
  <c r="J27" i="9"/>
  <c r="I27" i="9"/>
  <c r="H27" i="9"/>
  <c r="D27" i="9"/>
  <c r="B27" i="9"/>
  <c r="L25" i="9"/>
  <c r="K25" i="9"/>
  <c r="G25" i="9"/>
  <c r="F25" i="9"/>
  <c r="L24" i="9"/>
  <c r="K24" i="9"/>
  <c r="G24" i="9"/>
  <c r="F24" i="9"/>
  <c r="L23" i="9"/>
  <c r="K23" i="9"/>
  <c r="G23" i="9"/>
  <c r="F23" i="9"/>
  <c r="L22" i="9"/>
  <c r="K22" i="9"/>
  <c r="G22" i="9"/>
  <c r="F22" i="9"/>
  <c r="L21" i="9"/>
  <c r="K21" i="9"/>
  <c r="G21" i="9"/>
  <c r="F21" i="9"/>
  <c r="L20" i="9"/>
  <c r="K20" i="9"/>
  <c r="G20" i="9"/>
  <c r="F20" i="9"/>
  <c r="L19" i="9"/>
  <c r="K19" i="9"/>
  <c r="G19" i="9"/>
  <c r="F19" i="9"/>
  <c r="L18" i="9"/>
  <c r="K18" i="9"/>
  <c r="G18" i="9"/>
  <c r="F18" i="9"/>
  <c r="L17" i="9"/>
  <c r="K17" i="9"/>
  <c r="G17" i="9"/>
  <c r="F17" i="9"/>
  <c r="L16" i="9"/>
  <c r="G16" i="9"/>
  <c r="F16" i="9"/>
  <c r="L15" i="9"/>
  <c r="K15" i="9"/>
  <c r="G15" i="9"/>
  <c r="F15" i="9"/>
  <c r="L14" i="9"/>
  <c r="K14" i="9"/>
  <c r="M14" i="9" s="1"/>
  <c r="G14" i="9"/>
  <c r="F14" i="9"/>
  <c r="L13" i="9"/>
  <c r="K13" i="9"/>
  <c r="G13" i="9"/>
  <c r="F13" i="9"/>
  <c r="L27" i="9" l="1"/>
  <c r="M20" i="9"/>
  <c r="M16" i="9"/>
  <c r="M17" i="9"/>
  <c r="M19" i="9"/>
  <c r="M21" i="9"/>
  <c r="M23" i="9"/>
  <c r="M25" i="9"/>
  <c r="C107" i="9"/>
  <c r="C108" i="9" s="1"/>
  <c r="C110" i="9" s="1"/>
  <c r="M13" i="9"/>
  <c r="M22" i="9"/>
  <c r="M18" i="9"/>
  <c r="M24" i="9"/>
  <c r="M15" i="9"/>
  <c r="F27" i="9"/>
  <c r="G27" i="9"/>
  <c r="K27" i="9"/>
  <c r="C13" i="8"/>
  <c r="J13" i="8"/>
  <c r="I34" i="8" l="1"/>
  <c r="I34" i="7"/>
  <c r="I34" i="6"/>
  <c r="J15" i="8"/>
  <c r="J15" i="7"/>
  <c r="I14" i="8"/>
  <c r="I14" i="7"/>
  <c r="J13" i="7"/>
  <c r="J13" i="6"/>
  <c r="J15" i="6"/>
  <c r="I14" i="6"/>
  <c r="J14" i="6"/>
  <c r="J14" i="8"/>
  <c r="J17" i="8"/>
  <c r="H25" i="8"/>
  <c r="H24" i="8"/>
  <c r="H22" i="8"/>
  <c r="H21" i="8"/>
  <c r="H20" i="8"/>
  <c r="H19" i="8"/>
  <c r="H17" i="8"/>
  <c r="H16" i="8"/>
  <c r="H18" i="8"/>
  <c r="H15" i="8"/>
  <c r="H14" i="8"/>
  <c r="H13" i="8"/>
  <c r="E14" i="8"/>
  <c r="E13" i="8"/>
  <c r="D27" i="8" l="1"/>
  <c r="B27" i="8"/>
  <c r="L25" i="8"/>
  <c r="K25" i="8"/>
  <c r="G25" i="8"/>
  <c r="F25" i="8"/>
  <c r="L24" i="8"/>
  <c r="K24" i="8"/>
  <c r="G24" i="8"/>
  <c r="F24" i="8"/>
  <c r="L23" i="8"/>
  <c r="H23" i="8"/>
  <c r="K23" i="8" s="1"/>
  <c r="G23" i="8"/>
  <c r="F23" i="8"/>
  <c r="L22" i="8"/>
  <c r="K22" i="8"/>
  <c r="G22" i="8"/>
  <c r="F22" i="8"/>
  <c r="L21" i="8"/>
  <c r="K21" i="8"/>
  <c r="G21" i="8"/>
  <c r="F21" i="8"/>
  <c r="L20" i="8"/>
  <c r="K20" i="8"/>
  <c r="G20" i="8"/>
  <c r="F20" i="8"/>
  <c r="L19" i="8"/>
  <c r="K19" i="8"/>
  <c r="G19" i="8"/>
  <c r="F19" i="8"/>
  <c r="L18" i="8"/>
  <c r="K18" i="8"/>
  <c r="G18" i="8"/>
  <c r="F18" i="8"/>
  <c r="L17" i="8"/>
  <c r="K17" i="8"/>
  <c r="G17" i="8"/>
  <c r="F17" i="8"/>
  <c r="L16" i="8"/>
  <c r="K16" i="8"/>
  <c r="G16" i="8"/>
  <c r="F16" i="8"/>
  <c r="L15" i="8"/>
  <c r="K15" i="8"/>
  <c r="G15" i="8"/>
  <c r="F15" i="8"/>
  <c r="L14" i="8"/>
  <c r="K14" i="8"/>
  <c r="I27" i="8"/>
  <c r="G14" i="8"/>
  <c r="F14" i="8"/>
  <c r="L13" i="8"/>
  <c r="J27" i="8"/>
  <c r="K13" i="8"/>
  <c r="G13" i="8"/>
  <c r="C27" i="8"/>
  <c r="L27" i="8" l="1"/>
  <c r="M23" i="8"/>
  <c r="G27" i="8"/>
  <c r="F13" i="8"/>
  <c r="F27" i="8" s="1"/>
  <c r="M24" i="8"/>
  <c r="M25" i="8"/>
  <c r="M14" i="8"/>
  <c r="M15" i="8"/>
  <c r="M16" i="8"/>
  <c r="M17" i="8"/>
  <c r="M18" i="8"/>
  <c r="M19" i="8"/>
  <c r="M20" i="8"/>
  <c r="M21" i="8"/>
  <c r="M22" i="8"/>
  <c r="K27" i="8"/>
  <c r="M13" i="8"/>
  <c r="H27" i="8"/>
  <c r="E27" i="8"/>
  <c r="H13" i="7"/>
  <c r="E13" i="7"/>
  <c r="J14" i="7" l="1"/>
  <c r="H25" i="7"/>
  <c r="H24" i="7"/>
  <c r="H22" i="7"/>
  <c r="H21" i="7"/>
  <c r="H20" i="7"/>
  <c r="H19" i="7"/>
  <c r="H18" i="7"/>
  <c r="H17" i="7"/>
  <c r="H16" i="7"/>
  <c r="H15" i="7"/>
  <c r="H14" i="7"/>
  <c r="L13" i="7" l="1"/>
  <c r="C13" i="7"/>
  <c r="D27" i="7"/>
  <c r="B27" i="7"/>
  <c r="L25" i="7"/>
  <c r="K25" i="7"/>
  <c r="G25" i="7"/>
  <c r="F25" i="7"/>
  <c r="L24" i="7"/>
  <c r="K24" i="7"/>
  <c r="G24" i="7"/>
  <c r="M24" i="7" s="1"/>
  <c r="F24" i="7"/>
  <c r="L23" i="7"/>
  <c r="H23" i="7"/>
  <c r="K23" i="7" s="1"/>
  <c r="G23" i="7"/>
  <c r="F23" i="7"/>
  <c r="L22" i="7"/>
  <c r="K22" i="7"/>
  <c r="G22" i="7"/>
  <c r="F22" i="7"/>
  <c r="L21" i="7"/>
  <c r="K21" i="7"/>
  <c r="G21" i="7"/>
  <c r="M21" i="7" s="1"/>
  <c r="F21" i="7"/>
  <c r="L20" i="7"/>
  <c r="K20" i="7"/>
  <c r="G20" i="7"/>
  <c r="F20" i="7"/>
  <c r="L19" i="7"/>
  <c r="K19" i="7"/>
  <c r="G19" i="7"/>
  <c r="F19" i="7"/>
  <c r="L18" i="7"/>
  <c r="K18" i="7"/>
  <c r="G18" i="7"/>
  <c r="F18" i="7"/>
  <c r="L17" i="7"/>
  <c r="K17" i="7"/>
  <c r="G17" i="7"/>
  <c r="F17" i="7"/>
  <c r="L16" i="7"/>
  <c r="K16" i="7"/>
  <c r="G16" i="7"/>
  <c r="F16" i="7"/>
  <c r="L15" i="7"/>
  <c r="K15" i="7"/>
  <c r="G15" i="7"/>
  <c r="F15" i="7"/>
  <c r="L14" i="7"/>
  <c r="K14" i="7"/>
  <c r="I27" i="7"/>
  <c r="G14" i="7"/>
  <c r="F14" i="7"/>
  <c r="J27" i="7"/>
  <c r="K13" i="7"/>
  <c r="M20" i="7" l="1"/>
  <c r="M23" i="7"/>
  <c r="L27" i="7"/>
  <c r="G13" i="7"/>
  <c r="G27" i="7" s="1"/>
  <c r="M16" i="7"/>
  <c r="M18" i="7"/>
  <c r="M25" i="7"/>
  <c r="M22" i="7"/>
  <c r="M15" i="7"/>
  <c r="M17" i="7"/>
  <c r="M19" i="7"/>
  <c r="M14" i="7"/>
  <c r="C27" i="7"/>
  <c r="F13" i="7"/>
  <c r="F27" i="7" s="1"/>
  <c r="K27" i="7"/>
  <c r="H27" i="7"/>
  <c r="E27" i="7"/>
  <c r="M13" i="7" l="1"/>
  <c r="E14" i="6" l="1"/>
  <c r="H13" i="6"/>
  <c r="K13" i="6" s="1"/>
  <c r="H14" i="6"/>
  <c r="K14" i="6" s="1"/>
  <c r="E13" i="6"/>
  <c r="J17" i="6" l="1"/>
  <c r="H15" i="6"/>
  <c r="F23" i="6"/>
  <c r="F25" i="6"/>
  <c r="F24" i="6"/>
  <c r="C13" i="6"/>
  <c r="G13" i="6" s="1"/>
  <c r="M13" i="6" s="1"/>
  <c r="I27" i="6" l="1"/>
  <c r="E27" i="6"/>
  <c r="D27" i="6"/>
  <c r="B27" i="6"/>
  <c r="L25" i="6"/>
  <c r="K25" i="6"/>
  <c r="G25" i="6"/>
  <c r="L24" i="6"/>
  <c r="K24" i="6"/>
  <c r="G24" i="6"/>
  <c r="M24" i="6" s="1"/>
  <c r="L23" i="6"/>
  <c r="H23" i="6"/>
  <c r="K23" i="6" s="1"/>
  <c r="M23" i="6" s="1"/>
  <c r="G23" i="6"/>
  <c r="L22" i="6"/>
  <c r="K22" i="6"/>
  <c r="G22" i="6"/>
  <c r="F22" i="6"/>
  <c r="L21" i="6"/>
  <c r="K21" i="6"/>
  <c r="G21" i="6"/>
  <c r="F21" i="6"/>
  <c r="L20" i="6"/>
  <c r="K20" i="6"/>
  <c r="G20" i="6"/>
  <c r="F20" i="6"/>
  <c r="L19" i="6"/>
  <c r="K19" i="6"/>
  <c r="G19" i="6"/>
  <c r="F19" i="6"/>
  <c r="L18" i="6"/>
  <c r="K18" i="6"/>
  <c r="G18" i="6"/>
  <c r="F18" i="6"/>
  <c r="L17" i="6"/>
  <c r="K17" i="6"/>
  <c r="G17" i="6"/>
  <c r="F17" i="6"/>
  <c r="L16" i="6"/>
  <c r="K16" i="6"/>
  <c r="G16" i="6"/>
  <c r="F16" i="6"/>
  <c r="L15" i="6"/>
  <c r="J27" i="6"/>
  <c r="G15" i="6"/>
  <c r="F15" i="6"/>
  <c r="L14" i="6"/>
  <c r="G14" i="6"/>
  <c r="F14" i="6"/>
  <c r="L13" i="6"/>
  <c r="M18" i="6" l="1"/>
  <c r="M25" i="6"/>
  <c r="M16" i="6"/>
  <c r="M22" i="6"/>
  <c r="H27" i="6"/>
  <c r="M19" i="6"/>
  <c r="L27" i="6"/>
  <c r="M20" i="6"/>
  <c r="M21" i="6"/>
  <c r="M17" i="6"/>
  <c r="G27" i="6"/>
  <c r="M14" i="6"/>
  <c r="K15" i="6"/>
  <c r="M15" i="6" s="1"/>
  <c r="F13" i="6"/>
  <c r="F27" i="6" s="1"/>
  <c r="C27" i="6"/>
  <c r="K27" i="6" l="1"/>
</calcChain>
</file>

<file path=xl/comments1.xml><?xml version="1.0" encoding="utf-8"?>
<comments xmlns="http://schemas.openxmlformats.org/spreadsheetml/2006/main">
  <authors>
    <author>HP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</rPr>
          <t>La diferencia de $2,304.39 es por error en poliza se registro en retecion de isr de fortamun y se registro en fgp en lugar de fortamun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La diferencia de $2,304.39 es por error en poliza se registro en retecion de isr de fortamun y se registro en fgp en lugar de fortamun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C12" authorId="0" shapeId="0">
      <text>
        <r>
          <rPr>
            <b/>
            <sz val="8"/>
            <color indexed="81"/>
            <rFont val="Tahoma"/>
            <family val="2"/>
          </rPr>
          <t>SE REALIZO EN TRASPASO MDEL SALDO DE $907.25 DE SALDO DE BANCOS DE REPO 2018 Y SE INCREMENTO A LA CUENTA BANCARIA DE REPO 2019 PARA EJERCERSE EN ESTE RUBRO, EN ELMES DE NOVIEMBRE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importe no encontrado en cuentas acreedora por el importe de $15,242.51 en diciembre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importe no encontrado en cuentas deudoras por el importe de $1,400.00 desde octubre</t>
        </r>
        <r>
          <rPr>
            <sz val="9"/>
            <color indexed="81"/>
            <rFont val="Tahoma"/>
            <family val="2"/>
          </rPr>
          <t xml:space="preserve">
Nota se hiso la reclasificacion en poliza diario D00599 el 31-dic-19para corregir el error </t>
        </r>
      </text>
    </comment>
  </commentList>
</comments>
</file>

<file path=xl/sharedStrings.xml><?xml version="1.0" encoding="utf-8"?>
<sst xmlns="http://schemas.openxmlformats.org/spreadsheetml/2006/main" count="460" uniqueCount="91">
  <si>
    <t>MUNICIPIO DE: HUAUTLA, HGO.</t>
  </si>
  <si>
    <t>CUADRO RESUMEN DE LA SITUACIÓN FINANCIERA</t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</si>
  <si>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</si>
  <si>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</si>
  <si>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</si>
  <si>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</si>
  <si>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</si>
  <si>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</si>
  <si>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</si>
  <si>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</si>
  <si>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</si>
  <si>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</si>
  <si>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</si>
  <si>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</si>
  <si>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</si>
  <si>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</si>
  <si>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</si>
  <si>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FONDO DE FOMENTO MUNICIPAL</t>
  </si>
  <si>
    <t>I  R  R  E  D  U  C  T  I  B  L  E  S</t>
  </si>
  <si>
    <t>CONCEPTO</t>
  </si>
  <si>
    <t>PRESUPUESTO</t>
  </si>
  <si>
    <t>ACUMULADO</t>
  </si>
  <si>
    <t xml:space="preserve"> EJEMPLO:</t>
  </si>
  <si>
    <t>C.N.A.</t>
  </si>
  <si>
    <t>LUZ</t>
  </si>
  <si>
    <t>CLORACIÓN</t>
  </si>
  <si>
    <t>ELABORÓ:</t>
  </si>
  <si>
    <t>REVISÓ Y AUTORIZÓ:</t>
  </si>
  <si>
    <t>REVISÓ:</t>
  </si>
  <si>
    <t>C. PROFA. MARTHA HERNANDEZ VELASCO</t>
  </si>
  <si>
    <t>C. HIGINIO VITE DIAZ</t>
  </si>
  <si>
    <t>PRESIDENTA MUNICIPAL</t>
  </si>
  <si>
    <t>SINDICO PROCURADOR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</si>
  <si>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</si>
  <si>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</si>
  <si>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</si>
  <si>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</si>
  <si>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</si>
  <si>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</si>
  <si>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</si>
  <si>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</si>
  <si>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</si>
  <si>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</si>
  <si>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</si>
  <si>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</si>
  <si>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</si>
  <si>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</si>
  <si>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</si>
  <si>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</si>
  <si>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</si>
  <si>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</si>
  <si>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</si>
  <si>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</si>
  <si>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</si>
  <si>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</si>
  <si>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</si>
  <si>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</si>
  <si>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</si>
  <si>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</si>
  <si>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</si>
  <si>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</si>
  <si>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</si>
  <si>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</si>
  <si>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</si>
  <si>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</si>
  <si>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</si>
  <si>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</si>
  <si>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ACUMULADO:</t>
  </si>
  <si>
    <t>Importe total ejercido al mes que se reporta.</t>
  </si>
  <si>
    <t>Porcentaje reflejado entre lo presupuestado y lo acumulado, y se calcula dividiendo el acumulado entre el presupuesto</t>
  </si>
  <si>
    <t>Formato : FR-02</t>
  </si>
  <si>
    <t>RECURSOS  PROPIOS</t>
  </si>
  <si>
    <t>FONDO GENERAL DE PARTICIPACIONES</t>
  </si>
  <si>
    <t>FONDO DE APORTACIONES PARA LA INFRAESTRUCTURA SOCIAL MUNICIPAL</t>
  </si>
  <si>
    <t>FONDO DE APORTACIONES PARA EL FORTALECIMIENTO DE LOS MUNICIPIOS Y DEMARCACIONES TERRITORIALES DEL DF</t>
  </si>
  <si>
    <t>IMPUESTOS SOBRE AUTOMOVILES NUEVOS</t>
  </si>
  <si>
    <t>INCENTIVOS A LA VENTA FINAL DE GASOLINAS Y DIESEL</t>
  </si>
  <si>
    <t>COMPENSACION DEL IMPUESTO SOBRE AUTOMOVILES NUEVOS</t>
  </si>
  <si>
    <t>IMPUESTO ESPECIAL SOBRE PROD Y SERV. TAB.</t>
  </si>
  <si>
    <t>FONDO DE FISCALIZACIÓN y RECAUDACIÓN</t>
  </si>
  <si>
    <t>FONDO DE COMPENSACIÓN</t>
  </si>
  <si>
    <t>PRODUCTORES DE HIDROCARBUROS</t>
  </si>
  <si>
    <t>IMPUESTO SOBRE LA RENTA RECUPERABLE</t>
  </si>
  <si>
    <t>EJERCICIO 2019</t>
  </si>
  <si>
    <t>C.P. MARIA ELENA AGUILAR AVILA</t>
  </si>
  <si>
    <t>SECRETARIA DE FINANZAS Y TESORERIA</t>
  </si>
  <si>
    <t>ABRIL 2019</t>
  </si>
  <si>
    <t>MAYO 2019</t>
  </si>
  <si>
    <t>JUNIO 2019</t>
  </si>
  <si>
    <t>JULIO 2019</t>
  </si>
  <si>
    <t>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</si>
</sst>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[$$-80A]#,##0"/>
    <numFmt numFmtId="166" formatCode="#,##0.00_ ;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/>
    <xf numFmtId="43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6" borderId="0" applyNumberFormat="0" applyBorder="0" applyAlignment="0" applyProtection="0"/>
    <xf numFmtId="0" fontId="20" fillId="18" borderId="7" applyNumberFormat="0" applyAlignment="0" applyProtection="0"/>
    <xf numFmtId="0" fontId="21" fillId="19" borderId="8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3" borderId="0" applyNumberFormat="0" applyBorder="0" applyAlignment="0" applyProtection="0"/>
    <xf numFmtId="0" fontId="24" fillId="9" borderId="7" applyNumberFormat="0" applyAlignment="0" applyProtection="0"/>
    <xf numFmtId="0" fontId="25" fillId="5" borderId="0" applyNumberFormat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6" fillId="24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7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25" borderId="10" applyNumberFormat="0" applyFon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18" borderId="1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23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14" applyNumberFormat="0" applyFill="0" applyAlignment="0" applyProtection="0"/>
  </cellStyleXfs>
  <cellXfs count="126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Border="1"/>
    <xf numFmtId="0" fontId="8" fillId="3" borderId="1" xfId="0" applyFont="1" applyFill="1" applyBorder="1" applyAlignment="1">
      <alignment horizontal="center" vertical="center"/>
    </xf>
    <xf numFmtId="9" fontId="10" fillId="2" borderId="1" xfId="0" applyNumberFormat="1" applyFont="1" applyFill="1" applyBorder="1"/>
    <xf numFmtId="4" fontId="5" fillId="2" borderId="0" xfId="0" applyNumberFormat="1" applyFont="1" applyFill="1"/>
    <xf numFmtId="9" fontId="5" fillId="2" borderId="1" xfId="0" applyNumberFormat="1" applyFont="1" applyFill="1" applyBorder="1"/>
    <xf numFmtId="0" fontId="8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9" fontId="5" fillId="2" borderId="0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5" fillId="2" borderId="0" xfId="0" applyFont="1" applyFill="1" applyAlignment="1">
      <alignment horizontal="center"/>
    </xf>
    <xf numFmtId="4" fontId="5" fillId="2" borderId="0" xfId="0" applyNumberFormat="1" applyFont="1" applyFill="1" applyBorder="1" applyAlignment="1"/>
    <xf numFmtId="0" fontId="7" fillId="2" borderId="0" xfId="0" applyFont="1" applyFill="1" applyBorder="1"/>
    <xf numFmtId="0" fontId="4" fillId="2" borderId="0" xfId="0" applyFont="1" applyFill="1"/>
    <xf numFmtId="0" fontId="5" fillId="2" borderId="0" xfId="0" applyFont="1" applyFill="1" applyAlignment="1"/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/>
    <xf numFmtId="0" fontId="4" fillId="0" borderId="0" xfId="0" applyFont="1" applyFill="1" applyAlignment="1">
      <alignment vertical="top"/>
    </xf>
    <xf numFmtId="0" fontId="4" fillId="2" borderId="0" xfId="0" applyFont="1" applyFill="1" applyAlignment="1">
      <alignment horizontal="left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wrapText="1"/>
    </xf>
    <xf numFmtId="43" fontId="8" fillId="0" borderId="1" xfId="0" applyNumberFormat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 wrapText="1"/>
    </xf>
    <xf numFmtId="43" fontId="5" fillId="2" borderId="0" xfId="0" applyNumberFormat="1" applyFont="1" applyFill="1"/>
    <xf numFmtId="9" fontId="9" fillId="0" borderId="1" xfId="2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left" vertical="center" wrapText="1"/>
    </xf>
    <xf numFmtId="43" fontId="5" fillId="2" borderId="0" xfId="1" applyFont="1" applyFill="1" applyAlignment="1">
      <alignment vertical="center"/>
    </xf>
    <xf numFmtId="9" fontId="5" fillId="2" borderId="1" xfId="3" applyNumberFormat="1" applyFont="1" applyFill="1" applyBorder="1"/>
    <xf numFmtId="0" fontId="4" fillId="2" borderId="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vertical="center" wrapText="1"/>
    </xf>
    <xf numFmtId="9" fontId="10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3" fontId="5" fillId="2" borderId="0" xfId="1" applyFont="1" applyFill="1"/>
    <xf numFmtId="43" fontId="9" fillId="2" borderId="0" xfId="1" applyFont="1" applyFill="1"/>
    <xf numFmtId="0" fontId="7" fillId="2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3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166" fontId="9" fillId="2" borderId="4" xfId="14" applyNumberFormat="1" applyFont="1" applyFill="1" applyBorder="1" applyAlignment="1">
      <alignment horizontal="right"/>
    </xf>
    <xf numFmtId="166" fontId="9" fillId="2" borderId="5" xfId="14" applyNumberFormat="1" applyFont="1" applyFill="1" applyBorder="1" applyAlignment="1">
      <alignment horizontal="right"/>
    </xf>
    <xf numFmtId="166" fontId="9" fillId="2" borderId="6" xfId="14" applyNumberFormat="1" applyFont="1" applyFill="1" applyBorder="1" applyAlignment="1">
      <alignment horizontal="right"/>
    </xf>
    <xf numFmtId="164" fontId="5" fillId="2" borderId="1" xfId="3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justify" vertical="top" wrapText="1"/>
    </xf>
    <xf numFmtId="0" fontId="6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6" fillId="2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6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center" wrapText="1"/>
    </xf>
  </cellXfs>
  <cellStyles count="95">
    <cellStyle name="20% - Énfasis1 2" xfId="22"/>
    <cellStyle name="20% - Énfasis2 2" xfId="23"/>
    <cellStyle name="20% - Énfasis3 2" xfId="24"/>
    <cellStyle name="20% - Énfasis4 2" xfId="25"/>
    <cellStyle name="20% - Énfasis5 2" xfId="26"/>
    <cellStyle name="20% - Énfasis6 2" xfId="27"/>
    <cellStyle name="40% - Énfasis1 2" xfId="28"/>
    <cellStyle name="40% - Énfasis2 2" xfId="29"/>
    <cellStyle name="40% - Énfasis3 2" xfId="30"/>
    <cellStyle name="40% - Énfasis4 2" xfId="31"/>
    <cellStyle name="40% - Énfasis5 2" xfId="32"/>
    <cellStyle name="40% - Énfasis6 2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Buena 2" xfId="40"/>
    <cellStyle name="Cálculo 2" xfId="41"/>
    <cellStyle name="Celda de comprobación 2" xfId="42"/>
    <cellStyle name="Celda vinculada 2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Incorrecto 2" xfId="52"/>
    <cellStyle name="Millares" xfId="1" builtinId="3"/>
    <cellStyle name="Millares 2" xfId="4"/>
    <cellStyle name="Millares 2 2" xfId="11"/>
    <cellStyle name="Millares 2 2 2" xfId="55"/>
    <cellStyle name="Millares 2 2 3" xfId="54"/>
    <cellStyle name="Millares 2 2 4" xfId="20"/>
    <cellStyle name="Millares 2 3" xfId="56"/>
    <cellStyle name="Millares 2 4" xfId="53"/>
    <cellStyle name="Millares 2 5" xfId="14"/>
    <cellStyle name="Millares 25" xfId="8"/>
    <cellStyle name="Millares 25 2" xfId="17"/>
    <cellStyle name="Millares 3" xfId="6"/>
    <cellStyle name="Millares 3 2" xfId="57"/>
    <cellStyle name="Millares 3 3" xfId="16"/>
    <cellStyle name="Millares 4" xfId="13"/>
    <cellStyle name="Moneda 2" xfId="12"/>
    <cellStyle name="Moneda 2 2" xfId="59"/>
    <cellStyle name="Moneda 2 2 2" xfId="60"/>
    <cellStyle name="Moneda 2 3" xfId="58"/>
    <cellStyle name="Moneda 2 4" xfId="21"/>
    <cellStyle name="Moneda 3" xfId="5"/>
    <cellStyle name="Moneda 3 2" xfId="62"/>
    <cellStyle name="Moneda 3 3" xfId="63"/>
    <cellStyle name="Moneda 3 4" xfId="61"/>
    <cellStyle name="Moneda 3 5" xfId="15"/>
    <cellStyle name="Moneda 4" xfId="64"/>
    <cellStyle name="Moneda 4 2" xfId="65"/>
    <cellStyle name="Moneda 5" xfId="66"/>
    <cellStyle name="Moneda 7" xfId="9"/>
    <cellStyle name="Moneda 7 2" xfId="18"/>
    <cellStyle name="Neutral 2" xfId="67"/>
    <cellStyle name="Normal" xfId="0" builtinId="0"/>
    <cellStyle name="Normal 2" xfId="3"/>
    <cellStyle name="Normal 2 2" xfId="68"/>
    <cellStyle name="Normal 2 2 2" xfId="69"/>
    <cellStyle name="Normal 2 3" xfId="70"/>
    <cellStyle name="Normal 2 3 2" xfId="71"/>
    <cellStyle name="Normal 2 3 3" xfId="72"/>
    <cellStyle name="Normal 2 4" xfId="73"/>
    <cellStyle name="Normal 2 5" xfId="74"/>
    <cellStyle name="Normal 3" xfId="10"/>
    <cellStyle name="Normal 3 2" xfId="76"/>
    <cellStyle name="Normal 3 2 2" xfId="77"/>
    <cellStyle name="Normal 3 3" xfId="78"/>
    <cellStyle name="Normal 3 4" xfId="75"/>
    <cellStyle name="Normal 3 5" xfId="19"/>
    <cellStyle name="Normal 4" xfId="7"/>
    <cellStyle name="Normal 4 2" xfId="79"/>
    <cellStyle name="Normal 5" xfId="80"/>
    <cellStyle name="Normal 5 2" xfId="81"/>
    <cellStyle name="Normal 6" xfId="82"/>
    <cellStyle name="Notas 2" xfId="83"/>
    <cellStyle name="Porcentaje" xfId="2" builtinId="5"/>
    <cellStyle name="Porcentaje 2" xfId="84"/>
    <cellStyle name="Porcentaje 2 2" xfId="85"/>
    <cellStyle name="Porcentual 2" xfId="86"/>
    <cellStyle name="Porcentual 2 2" xfId="87"/>
    <cellStyle name="Salida 2" xfId="88"/>
    <cellStyle name="Texto de advertencia 2" xfId="89"/>
    <cellStyle name="Texto explicativo 2" xfId="90"/>
    <cellStyle name="Título 2 2" xfId="91"/>
    <cellStyle name="Título 3 2" xfId="92"/>
    <cellStyle name="Título 4" xfId="93"/>
    <cellStyle name="Total 2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/>
        <xdr:cNvSpPr/>
      </xdr:nvSpPr>
      <xdr:spPr>
        <a:xfrm>
          <a:off x="10906125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9</xdr:col>
      <xdr:colOff>174625</xdr:colOff>
      <xdr:row>0</xdr:row>
      <xdr:rowOff>55567</xdr:rowOff>
    </xdr:from>
    <xdr:to>
      <xdr:col>10</xdr:col>
      <xdr:colOff>354012</xdr:colOff>
      <xdr:row>5</xdr:row>
      <xdr:rowOff>37895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55567"/>
          <a:ext cx="1131887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1163053</xdr:colOff>
      <xdr:row>6</xdr:row>
      <xdr:rowOff>9024</xdr:rowOff>
    </xdr:to>
    <xdr:pic>
      <xdr:nvPicPr>
        <xdr:cNvPr id="4" name="Imagen 3" descr="C:\Users\Desarrollo Social\Pictures\LOGO HUAUTLA.png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053" cy="109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/>
        <xdr:cNvSpPr/>
      </xdr:nvSpPr>
      <xdr:spPr>
        <a:xfrm>
          <a:off x="10906125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9</xdr:col>
      <xdr:colOff>174625</xdr:colOff>
      <xdr:row>0</xdr:row>
      <xdr:rowOff>55567</xdr:rowOff>
    </xdr:from>
    <xdr:to>
      <xdr:col>10</xdr:col>
      <xdr:colOff>354012</xdr:colOff>
      <xdr:row>5</xdr:row>
      <xdr:rowOff>37895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55567"/>
          <a:ext cx="1131887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1163053</xdr:colOff>
      <xdr:row>6</xdr:row>
      <xdr:rowOff>9024</xdr:rowOff>
    </xdr:to>
    <xdr:pic>
      <xdr:nvPicPr>
        <xdr:cNvPr id="4" name="Imagen 3" descr="C:\Users\Desarrollo Social\Pictures\LOGO HUAUTLA.png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053" cy="109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/>
        <xdr:cNvSpPr/>
      </xdr:nvSpPr>
      <xdr:spPr>
        <a:xfrm>
          <a:off x="10906125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9</xdr:col>
      <xdr:colOff>174625</xdr:colOff>
      <xdr:row>0</xdr:row>
      <xdr:rowOff>55567</xdr:rowOff>
    </xdr:from>
    <xdr:to>
      <xdr:col>10</xdr:col>
      <xdr:colOff>354012</xdr:colOff>
      <xdr:row>5</xdr:row>
      <xdr:rowOff>37895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55567"/>
          <a:ext cx="1131887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1163053</xdr:colOff>
      <xdr:row>6</xdr:row>
      <xdr:rowOff>9024</xdr:rowOff>
    </xdr:to>
    <xdr:pic>
      <xdr:nvPicPr>
        <xdr:cNvPr id="4" name="Imagen 3" descr="C:\Users\Desarrollo Social\Pictures\LOGO HUAUTLA.png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053" cy="109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/>
        <xdr:cNvSpPr/>
      </xdr:nvSpPr>
      <xdr:spPr>
        <a:xfrm>
          <a:off x="10906125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9</xdr:col>
      <xdr:colOff>174625</xdr:colOff>
      <xdr:row>0</xdr:row>
      <xdr:rowOff>55567</xdr:rowOff>
    </xdr:from>
    <xdr:to>
      <xdr:col>10</xdr:col>
      <xdr:colOff>354012</xdr:colOff>
      <xdr:row>5</xdr:row>
      <xdr:rowOff>37895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55567"/>
          <a:ext cx="1131887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1163053</xdr:colOff>
      <xdr:row>6</xdr:row>
      <xdr:rowOff>9024</xdr:rowOff>
    </xdr:to>
    <xdr:pic>
      <xdr:nvPicPr>
        <xdr:cNvPr id="4" name="Imagen 3" descr="C:\Users\Desarrollo Social\Pictures\LOGO HUAUTLA.png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053" cy="109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/>
        <xdr:cNvSpPr/>
      </xdr:nvSpPr>
      <xdr:spPr>
        <a:xfrm>
          <a:off x="10906125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FR-02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9</xdr:col>
      <xdr:colOff>174625</xdr:colOff>
      <xdr:row>0</xdr:row>
      <xdr:rowOff>55567</xdr:rowOff>
    </xdr:from>
    <xdr:to>
      <xdr:col>10</xdr:col>
      <xdr:colOff>354012</xdr:colOff>
      <xdr:row>5</xdr:row>
      <xdr:rowOff>37895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950" y="55567"/>
          <a:ext cx="1131887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1163053</xdr:colOff>
      <xdr:row>6</xdr:row>
      <xdr:rowOff>9024</xdr:rowOff>
    </xdr:to>
    <xdr:pic>
      <xdr:nvPicPr>
        <xdr:cNvPr id="4" name="Imagen 3" descr="C:\Users\Desarrollo Social\Pictures\LOGO HUAUTLA.png"/>
        <xdr:cNvPicPr/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053" cy="1094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M89"/>
  <sheetViews>
    <sheetView topLeftCell="A10" zoomScale="120" zoomScaleNormal="120" zoomScaleSheetLayoutView="100" workbookViewId="0">
      <pane xSplit="5" ySplit="3" topLeftCell="G13" activePane="bottomRight" state="frozen"/>
      <selection activeCell="A10" sqref="A10"/>
      <selection pane="topRight" activeCell="F10" sqref="F10"/>
      <selection pane="bottomLeft" activeCell="A13" sqref="A13"/>
      <selection pane="bottomRight" activeCell="I14" sqref="I14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3" ht="15.7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customHeigh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ht="15.75" customHeight="1" x14ac:dyDescent="0.25">
      <c r="A7" s="46"/>
      <c r="B7" s="46"/>
      <c r="C7" s="46"/>
      <c r="D7" s="46"/>
      <c r="E7" s="46" t="s">
        <v>83</v>
      </c>
      <c r="F7" s="46"/>
      <c r="G7" s="46"/>
      <c r="H7" s="46"/>
      <c r="I7" s="46"/>
      <c r="J7" s="46"/>
      <c r="K7" s="46"/>
      <c r="L7" s="46"/>
    </row>
    <row r="8" spans="1:13" ht="15.75" customHeight="1" x14ac:dyDescent="0.25">
      <c r="A8" s="3"/>
      <c r="B8" s="4"/>
      <c r="C8" s="4"/>
      <c r="D8" s="46"/>
      <c r="E8" s="71" t="s">
        <v>86</v>
      </c>
      <c r="F8" s="46"/>
      <c r="G8" s="46"/>
      <c r="H8" s="46"/>
      <c r="I8" s="46"/>
      <c r="J8" s="46"/>
      <c r="K8" s="46"/>
      <c r="L8" s="46"/>
    </row>
    <row r="9" spans="1:13" ht="15.75" customHeight="1" x14ac:dyDescent="0.2">
      <c r="B9" s="5"/>
      <c r="C9" s="5"/>
      <c r="D9" s="5"/>
      <c r="E9" s="6"/>
      <c r="F9" s="6"/>
      <c r="G9" s="6"/>
    </row>
    <row r="10" spans="1:13" ht="15.75" customHeight="1" x14ac:dyDescent="0.25">
      <c r="C10" s="93" t="s">
        <v>2</v>
      </c>
      <c r="D10" s="93"/>
      <c r="E10" s="94"/>
      <c r="F10" s="94"/>
      <c r="G10" s="94"/>
      <c r="H10" s="93" t="s">
        <v>3</v>
      </c>
      <c r="I10" s="93"/>
      <c r="J10" s="93"/>
      <c r="K10" s="93"/>
    </row>
    <row r="11" spans="1:13" ht="15.75" customHeight="1" x14ac:dyDescent="0.25">
      <c r="A11" s="95" t="s">
        <v>4</v>
      </c>
      <c r="B11" s="97" t="s">
        <v>5</v>
      </c>
      <c r="C11" s="97" t="s">
        <v>6</v>
      </c>
      <c r="D11" s="97" t="s">
        <v>7</v>
      </c>
      <c r="E11" s="98" t="s">
        <v>8</v>
      </c>
      <c r="F11" s="98" t="s">
        <v>9</v>
      </c>
      <c r="G11" s="95" t="s">
        <v>10</v>
      </c>
      <c r="H11" s="98" t="s">
        <v>11</v>
      </c>
      <c r="I11" s="98" t="s">
        <v>12</v>
      </c>
      <c r="J11" s="98" t="s">
        <v>13</v>
      </c>
      <c r="K11" s="98" t="s">
        <v>14</v>
      </c>
      <c r="L11" s="51" t="s">
        <v>15</v>
      </c>
    </row>
    <row r="12" spans="1:13" ht="25.5" customHeight="1" x14ac:dyDescent="0.2">
      <c r="A12" s="96"/>
      <c r="B12" s="97"/>
      <c r="C12" s="97"/>
      <c r="D12" s="97"/>
      <c r="E12" s="98"/>
      <c r="F12" s="98"/>
      <c r="G12" s="96"/>
      <c r="H12" s="98"/>
      <c r="I12" s="98"/>
      <c r="J12" s="98"/>
      <c r="K12" s="98"/>
      <c r="L12" s="7" t="s">
        <v>16</v>
      </c>
    </row>
    <row r="13" spans="1:13" ht="25.5" customHeight="1" x14ac:dyDescent="0.2">
      <c r="A13" s="41" t="s">
        <v>71</v>
      </c>
      <c r="B13" s="37">
        <v>4897707.0199999996</v>
      </c>
      <c r="C13" s="61">
        <f>10131+778599.83+41308+517915.83+18080.1+69167+202591</f>
        <v>1637792.76</v>
      </c>
      <c r="D13" s="37">
        <v>0</v>
      </c>
      <c r="E13" s="37">
        <f>1212897.23+158278.31</f>
        <v>1371175.54</v>
      </c>
      <c r="F13" s="40">
        <f>+E13/C13</f>
        <v>0.83720942813301968</v>
      </c>
      <c r="G13" s="38">
        <f>+C13-E13+D13</f>
        <v>266617.21999999997</v>
      </c>
      <c r="H13" s="37">
        <f>155079.38+124867.87-5469.69-4033.81-3065-160-0.91</f>
        <v>267217.84000000003</v>
      </c>
      <c r="I13" s="37">
        <v>5544.01</v>
      </c>
      <c r="J13" s="37">
        <f>600+5544.01+0.62</f>
        <v>6144.63</v>
      </c>
      <c r="K13" s="37">
        <f>+H13+I13-J13</f>
        <v>266617.22000000003</v>
      </c>
      <c r="L13" s="62">
        <f>E13/B13</f>
        <v>0.27996275285572314</v>
      </c>
      <c r="M13" s="39">
        <f>+K13-G13</f>
        <v>0</v>
      </c>
    </row>
    <row r="14" spans="1:13" ht="25.5" customHeight="1" x14ac:dyDescent="0.2">
      <c r="A14" s="41" t="s">
        <v>72</v>
      </c>
      <c r="B14" s="37">
        <v>24923915.41</v>
      </c>
      <c r="C14" s="61">
        <v>8202892.0999999996</v>
      </c>
      <c r="D14" s="37">
        <v>21657.79</v>
      </c>
      <c r="E14" s="37">
        <f>7377295.14</f>
        <v>7377295.1399999997</v>
      </c>
      <c r="F14" s="40">
        <f t="shared" ref="F14:F25" si="0">+E14/C14</f>
        <v>0.89935294162896517</v>
      </c>
      <c r="G14" s="38">
        <f t="shared" ref="G14:G25" si="1">+C14-E14+D14</f>
        <v>847254.75</v>
      </c>
      <c r="H14" s="37">
        <f>831600.54</f>
        <v>831600.54</v>
      </c>
      <c r="I14" s="37">
        <f>121551+15</f>
        <v>121566</v>
      </c>
      <c r="J14" s="37">
        <f>102604.79+3307</f>
        <v>105911.79</v>
      </c>
      <c r="K14" s="37">
        <f>+H14+I14-J14</f>
        <v>847254.75</v>
      </c>
      <c r="L14" s="62">
        <f t="shared" ref="L14:L25" si="2">E14/B14</f>
        <v>0.29599262469973209</v>
      </c>
      <c r="M14" s="39">
        <f>+K14-G14</f>
        <v>0</v>
      </c>
    </row>
    <row r="15" spans="1:13" ht="25.5" customHeight="1" x14ac:dyDescent="0.2">
      <c r="A15" s="41" t="s">
        <v>17</v>
      </c>
      <c r="B15" s="37">
        <v>13117037</v>
      </c>
      <c r="C15" s="61">
        <v>4748843.9000000004</v>
      </c>
      <c r="D15" s="37">
        <v>4140.5600000000004</v>
      </c>
      <c r="E15" s="37">
        <v>4447260.78</v>
      </c>
      <c r="F15" s="40">
        <f t="shared" si="0"/>
        <v>0.93649335999441885</v>
      </c>
      <c r="G15" s="38">
        <f t="shared" si="1"/>
        <v>305723.68000000011</v>
      </c>
      <c r="H15" s="37">
        <f>462500.38</f>
        <v>462500.38</v>
      </c>
      <c r="I15" s="37">
        <v>30000</v>
      </c>
      <c r="J15" s="37">
        <f>121551+65209.7+1+15</f>
        <v>186776.7</v>
      </c>
      <c r="K15" s="37">
        <f t="shared" ref="K15:K25" si="3">+H15+I15-J15</f>
        <v>305723.68</v>
      </c>
      <c r="L15" s="62">
        <f t="shared" si="2"/>
        <v>0.33904461655479057</v>
      </c>
      <c r="M15" s="39">
        <f t="shared" ref="M15:M25" si="4">+K15-G15</f>
        <v>0</v>
      </c>
    </row>
    <row r="16" spans="1:13" ht="25.5" customHeight="1" x14ac:dyDescent="0.2">
      <c r="A16" s="41" t="s">
        <v>73</v>
      </c>
      <c r="B16" s="37">
        <v>59988300</v>
      </c>
      <c r="C16" s="61">
        <v>25530067.699999999</v>
      </c>
      <c r="D16" s="37">
        <v>15.32</v>
      </c>
      <c r="E16" s="37">
        <v>0</v>
      </c>
      <c r="F16" s="40">
        <f t="shared" si="0"/>
        <v>0</v>
      </c>
      <c r="G16" s="38">
        <f t="shared" si="1"/>
        <v>25530083.02</v>
      </c>
      <c r="H16" s="37">
        <v>25530083.02</v>
      </c>
      <c r="I16" s="37"/>
      <c r="J16" s="37"/>
      <c r="K16" s="37">
        <f t="shared" si="3"/>
        <v>25530083.02</v>
      </c>
      <c r="L16" s="62">
        <f t="shared" si="2"/>
        <v>0</v>
      </c>
      <c r="M16" s="39">
        <f t="shared" si="4"/>
        <v>0</v>
      </c>
    </row>
    <row r="17" spans="1:13" ht="25.5" customHeight="1" x14ac:dyDescent="0.2">
      <c r="A17" s="41" t="s">
        <v>74</v>
      </c>
      <c r="B17" s="37">
        <v>13007303.76</v>
      </c>
      <c r="C17" s="61">
        <v>4916939.78</v>
      </c>
      <c r="D17" s="37">
        <v>10.119999999999999</v>
      </c>
      <c r="E17" s="37">
        <v>3633343.84</v>
      </c>
      <c r="F17" s="40">
        <f t="shared" si="0"/>
        <v>0.73894414057680402</v>
      </c>
      <c r="G17" s="38">
        <f t="shared" si="1"/>
        <v>1283606.0600000005</v>
      </c>
      <c r="H17" s="37">
        <v>1302912.92</v>
      </c>
      <c r="I17" s="37">
        <v>1670</v>
      </c>
      <c r="J17" s="42">
        <f>20976.86</f>
        <v>20976.86</v>
      </c>
      <c r="K17" s="37">
        <f t="shared" si="3"/>
        <v>1283606.0599999998</v>
      </c>
      <c r="L17" s="62">
        <f t="shared" si="2"/>
        <v>0.27933105177210066</v>
      </c>
      <c r="M17" s="39">
        <f t="shared" si="4"/>
        <v>0</v>
      </c>
    </row>
    <row r="18" spans="1:13" ht="25.5" customHeight="1" x14ac:dyDescent="0.2">
      <c r="A18" s="41" t="s">
        <v>78</v>
      </c>
      <c r="B18" s="37">
        <v>443091</v>
      </c>
      <c r="C18" s="61">
        <v>180881.61</v>
      </c>
      <c r="D18" s="37">
        <v>15.01</v>
      </c>
      <c r="E18" s="37">
        <v>123208.09</v>
      </c>
      <c r="F18" s="40">
        <f t="shared" si="0"/>
        <v>0.68115321397238782</v>
      </c>
      <c r="G18" s="38">
        <f t="shared" si="1"/>
        <v>57688.529999999992</v>
      </c>
      <c r="H18" s="37">
        <v>57688.53</v>
      </c>
      <c r="I18" s="37"/>
      <c r="J18" s="37"/>
      <c r="K18" s="37">
        <f t="shared" si="3"/>
        <v>57688.53</v>
      </c>
      <c r="L18" s="62">
        <f t="shared" si="2"/>
        <v>0.27806497987997952</v>
      </c>
      <c r="M18" s="39">
        <f t="shared" si="4"/>
        <v>0</v>
      </c>
    </row>
    <row r="19" spans="1:13" ht="25.5" customHeight="1" x14ac:dyDescent="0.2">
      <c r="A19" s="41" t="s">
        <v>75</v>
      </c>
      <c r="B19" s="37">
        <v>224421</v>
      </c>
      <c r="C19" s="61">
        <v>106630.39</v>
      </c>
      <c r="D19" s="37">
        <v>35.299999999999997</v>
      </c>
      <c r="E19" s="37">
        <v>23880.61</v>
      </c>
      <c r="F19" s="40">
        <f t="shared" si="0"/>
        <v>0.22395688508688752</v>
      </c>
      <c r="G19" s="38">
        <f t="shared" si="1"/>
        <v>82785.08</v>
      </c>
      <c r="H19" s="37">
        <v>82785.08</v>
      </c>
      <c r="I19" s="37"/>
      <c r="J19" s="37"/>
      <c r="K19" s="37">
        <f t="shared" si="3"/>
        <v>82785.08</v>
      </c>
      <c r="L19" s="62">
        <f t="shared" si="2"/>
        <v>0.10640987251638662</v>
      </c>
      <c r="M19" s="39">
        <f t="shared" si="4"/>
        <v>0</v>
      </c>
    </row>
    <row r="20" spans="1:13" ht="25.5" customHeight="1" x14ac:dyDescent="0.2">
      <c r="A20" s="41" t="s">
        <v>79</v>
      </c>
      <c r="B20" s="37">
        <v>696289</v>
      </c>
      <c r="C20" s="61">
        <v>199139.56</v>
      </c>
      <c r="D20" s="37">
        <v>9.8699999999999992</v>
      </c>
      <c r="E20" s="37">
        <v>41823.800000000003</v>
      </c>
      <c r="F20" s="40">
        <f t="shared" si="0"/>
        <v>0.21002255905356024</v>
      </c>
      <c r="G20" s="38">
        <f t="shared" si="1"/>
        <v>157325.63</v>
      </c>
      <c r="H20" s="37">
        <v>157325.63</v>
      </c>
      <c r="I20" s="37"/>
      <c r="J20" s="37"/>
      <c r="K20" s="37">
        <f t="shared" si="3"/>
        <v>157325.63</v>
      </c>
      <c r="L20" s="62">
        <f t="shared" si="2"/>
        <v>6.0066725167279685E-2</v>
      </c>
      <c r="M20" s="39">
        <f t="shared" si="4"/>
        <v>0</v>
      </c>
    </row>
    <row r="21" spans="1:13" ht="25.5" customHeight="1" x14ac:dyDescent="0.2">
      <c r="A21" s="41" t="s">
        <v>76</v>
      </c>
      <c r="B21" s="37">
        <v>853218</v>
      </c>
      <c r="C21" s="61">
        <v>244840.48</v>
      </c>
      <c r="D21" s="37">
        <v>142.79</v>
      </c>
      <c r="E21" s="37">
        <v>236978.3</v>
      </c>
      <c r="F21" s="40">
        <f t="shared" si="0"/>
        <v>0.96788856156465619</v>
      </c>
      <c r="G21" s="38">
        <f t="shared" si="1"/>
        <v>8004.9700000000221</v>
      </c>
      <c r="H21" s="37">
        <v>8004.97</v>
      </c>
      <c r="I21" s="37"/>
      <c r="J21" s="37"/>
      <c r="K21" s="37">
        <f t="shared" si="3"/>
        <v>8004.97</v>
      </c>
      <c r="L21" s="62">
        <f t="shared" si="2"/>
        <v>0.27774648448579375</v>
      </c>
      <c r="M21" s="39">
        <f t="shared" si="4"/>
        <v>-2.1827872842550278E-11</v>
      </c>
    </row>
    <row r="22" spans="1:13" ht="25.5" customHeight="1" x14ac:dyDescent="0.2">
      <c r="A22" s="41" t="s">
        <v>77</v>
      </c>
      <c r="B22" s="37">
        <v>43012</v>
      </c>
      <c r="C22" s="61">
        <v>14766.74</v>
      </c>
      <c r="D22" s="37">
        <v>3.02</v>
      </c>
      <c r="E22" s="37">
        <v>8000</v>
      </c>
      <c r="F22" s="40">
        <f t="shared" si="0"/>
        <v>0.54175803190142169</v>
      </c>
      <c r="G22" s="38">
        <f t="shared" si="1"/>
        <v>6769.76</v>
      </c>
      <c r="H22" s="37">
        <v>6769.76</v>
      </c>
      <c r="I22" s="37"/>
      <c r="J22" s="37"/>
      <c r="K22" s="37">
        <f t="shared" si="3"/>
        <v>6769.76</v>
      </c>
      <c r="L22" s="62">
        <f t="shared" si="2"/>
        <v>0.18599460615642147</v>
      </c>
      <c r="M22" s="39">
        <f t="shared" si="4"/>
        <v>0</v>
      </c>
    </row>
    <row r="23" spans="1:13" ht="25.5" customHeight="1" x14ac:dyDescent="0.2">
      <c r="A23" s="41" t="s">
        <v>80</v>
      </c>
      <c r="B23" s="37">
        <v>720000</v>
      </c>
      <c r="C23" s="61">
        <v>0.1</v>
      </c>
      <c r="D23" s="37">
        <v>34.72</v>
      </c>
      <c r="E23" s="37">
        <v>0</v>
      </c>
      <c r="F23" s="40">
        <f t="shared" si="0"/>
        <v>0</v>
      </c>
      <c r="G23" s="38">
        <f t="shared" si="1"/>
        <v>34.82</v>
      </c>
      <c r="H23" s="37">
        <f>34.82</f>
        <v>34.82</v>
      </c>
      <c r="I23" s="37"/>
      <c r="J23" s="37"/>
      <c r="K23" s="37">
        <f t="shared" si="3"/>
        <v>34.82</v>
      </c>
      <c r="L23" s="62">
        <f t="shared" si="2"/>
        <v>0</v>
      </c>
      <c r="M23" s="39">
        <f t="shared" si="4"/>
        <v>0</v>
      </c>
    </row>
    <row r="24" spans="1:13" ht="25.5" customHeight="1" x14ac:dyDescent="0.2">
      <c r="A24" s="41" t="s">
        <v>82</v>
      </c>
      <c r="B24" s="37">
        <v>1800000</v>
      </c>
      <c r="C24" s="61">
        <v>601928.1</v>
      </c>
      <c r="D24" s="37">
        <v>85.85</v>
      </c>
      <c r="E24" s="37">
        <v>482550</v>
      </c>
      <c r="F24" s="40">
        <f t="shared" si="0"/>
        <v>0.80167382117565211</v>
      </c>
      <c r="G24" s="38">
        <f t="shared" si="1"/>
        <v>119463.94999999998</v>
      </c>
      <c r="H24" s="37">
        <v>119463.95</v>
      </c>
      <c r="I24" s="37"/>
      <c r="J24" s="37"/>
      <c r="K24" s="37">
        <f t="shared" si="3"/>
        <v>119463.95</v>
      </c>
      <c r="L24" s="62">
        <f t="shared" si="2"/>
        <v>0.26808333333333334</v>
      </c>
      <c r="M24" s="39">
        <f t="shared" si="4"/>
        <v>0</v>
      </c>
    </row>
    <row r="25" spans="1:13" ht="25.5" customHeight="1" x14ac:dyDescent="0.2">
      <c r="A25" s="41" t="s">
        <v>81</v>
      </c>
      <c r="B25" s="37">
        <v>700000</v>
      </c>
      <c r="C25" s="61">
        <v>239681.3</v>
      </c>
      <c r="D25" s="37">
        <v>227.19</v>
      </c>
      <c r="E25" s="37">
        <v>0</v>
      </c>
      <c r="F25" s="40">
        <f t="shared" si="0"/>
        <v>0</v>
      </c>
      <c r="G25" s="38">
        <f t="shared" si="1"/>
        <v>239908.49</v>
      </c>
      <c r="H25" s="37">
        <v>239908.49</v>
      </c>
      <c r="I25" s="37"/>
      <c r="J25" s="37"/>
      <c r="K25" s="37">
        <f t="shared" si="3"/>
        <v>239908.49</v>
      </c>
      <c r="L25" s="62">
        <f t="shared" si="2"/>
        <v>0</v>
      </c>
      <c r="M25" s="39">
        <f t="shared" si="4"/>
        <v>0</v>
      </c>
    </row>
    <row r="26" spans="1:13" ht="25.5" customHeight="1" x14ac:dyDescent="0.2">
      <c r="A26" s="34"/>
      <c r="B26" s="37"/>
      <c r="C26" s="37"/>
      <c r="D26" s="37"/>
      <c r="E26" s="37"/>
      <c r="F26" s="40"/>
      <c r="G26" s="38"/>
      <c r="H26" s="37"/>
      <c r="I26" s="37"/>
      <c r="J26" s="37"/>
      <c r="K26" s="37"/>
      <c r="L26" s="62"/>
    </row>
    <row r="27" spans="1:13" ht="25.5" customHeight="1" x14ac:dyDescent="0.25">
      <c r="A27" s="33"/>
      <c r="B27" s="36">
        <f t="shared" ref="B27:L27" si="5">SUM(B13:B26)</f>
        <v>121414294.19000001</v>
      </c>
      <c r="C27" s="36">
        <f t="shared" si="5"/>
        <v>46624404.520000003</v>
      </c>
      <c r="D27" s="36">
        <f t="shared" si="5"/>
        <v>26377.539999999997</v>
      </c>
      <c r="E27" s="36">
        <f t="shared" si="5"/>
        <v>17745516.100000001</v>
      </c>
      <c r="F27" s="36">
        <f t="shared" si="5"/>
        <v>6.8384529430877734</v>
      </c>
      <c r="G27" s="36">
        <f t="shared" si="5"/>
        <v>28905265.959999993</v>
      </c>
      <c r="H27" s="36">
        <f t="shared" si="5"/>
        <v>29066295.93</v>
      </c>
      <c r="I27" s="36">
        <f t="shared" si="5"/>
        <v>158780.01</v>
      </c>
      <c r="J27" s="36">
        <f t="shared" si="5"/>
        <v>319809.98</v>
      </c>
      <c r="K27" s="36">
        <f t="shared" si="5"/>
        <v>28905265.959999993</v>
      </c>
      <c r="L27" s="36">
        <f t="shared" si="5"/>
        <v>2.3706970474215407</v>
      </c>
    </row>
    <row r="28" spans="1:13" ht="15.75" customHeight="1" x14ac:dyDescent="0.2">
      <c r="C28" s="9"/>
      <c r="D28" s="9"/>
    </row>
    <row r="29" spans="1:13" ht="15.75" customHeight="1" x14ac:dyDescent="0.2">
      <c r="C29" s="91" t="s">
        <v>18</v>
      </c>
      <c r="D29" s="91"/>
      <c r="E29" s="91"/>
      <c r="F29" s="91"/>
      <c r="G29" s="91"/>
      <c r="H29" s="91"/>
      <c r="I29" s="91"/>
    </row>
    <row r="30" spans="1:13" ht="15.75" customHeight="1" x14ac:dyDescent="0.2">
      <c r="C30" s="50"/>
      <c r="D30" s="50"/>
      <c r="E30" s="50"/>
      <c r="F30" s="50"/>
      <c r="G30" s="50"/>
      <c r="H30" s="50"/>
      <c r="I30" s="50"/>
    </row>
    <row r="31" spans="1:13" ht="15.75" customHeight="1" x14ac:dyDescent="0.25">
      <c r="B31" s="99" t="s">
        <v>19</v>
      </c>
      <c r="C31" s="99"/>
      <c r="D31" s="100" t="s">
        <v>20</v>
      </c>
      <c r="E31" s="101"/>
      <c r="F31" s="102"/>
      <c r="G31" s="103" t="s">
        <v>21</v>
      </c>
      <c r="H31" s="103"/>
      <c r="I31" s="49" t="s">
        <v>9</v>
      </c>
    </row>
    <row r="32" spans="1:13" ht="15.75" customHeight="1" x14ac:dyDescent="0.25">
      <c r="B32" s="104" t="s">
        <v>22</v>
      </c>
      <c r="C32" s="104"/>
      <c r="D32" s="100"/>
      <c r="E32" s="101"/>
      <c r="F32" s="102"/>
      <c r="G32" s="105"/>
      <c r="H32" s="105"/>
      <c r="I32" s="10"/>
    </row>
    <row r="33" spans="1:11" ht="15.75" customHeight="1" x14ac:dyDescent="0.25">
      <c r="B33" s="107" t="s">
        <v>23</v>
      </c>
      <c r="C33" s="107"/>
      <c r="D33" s="108">
        <v>0</v>
      </c>
      <c r="E33" s="109"/>
      <c r="F33" s="110"/>
      <c r="G33" s="111">
        <v>0</v>
      </c>
      <c r="H33" s="111"/>
      <c r="I33" s="43">
        <v>0</v>
      </c>
    </row>
    <row r="34" spans="1:11" ht="15.75" customHeight="1" x14ac:dyDescent="0.25">
      <c r="B34" s="107" t="s">
        <v>24</v>
      </c>
      <c r="C34" s="107"/>
      <c r="D34" s="108">
        <v>2289355</v>
      </c>
      <c r="E34" s="109"/>
      <c r="F34" s="110"/>
      <c r="G34" s="111">
        <v>872270.08</v>
      </c>
      <c r="H34" s="111"/>
      <c r="I34" s="43">
        <f>SUM(G34/D34)</f>
        <v>0.38101128046982663</v>
      </c>
    </row>
    <row r="35" spans="1:11" ht="15.75" customHeight="1" x14ac:dyDescent="0.25">
      <c r="B35" s="107" t="s">
        <v>25</v>
      </c>
      <c r="C35" s="107"/>
      <c r="D35" s="108">
        <v>0</v>
      </c>
      <c r="E35" s="109"/>
      <c r="F35" s="110"/>
      <c r="G35" s="111">
        <v>0</v>
      </c>
      <c r="H35" s="111"/>
      <c r="I35" s="43">
        <v>0</v>
      </c>
    </row>
    <row r="36" spans="1:11" ht="15.75" customHeight="1" x14ac:dyDescent="0.25">
      <c r="B36" s="11"/>
      <c r="C36" s="11"/>
      <c r="D36" s="11"/>
      <c r="E36" s="11"/>
      <c r="F36" s="11"/>
      <c r="G36" s="12"/>
      <c r="H36" s="12"/>
      <c r="I36" s="13"/>
    </row>
    <row r="37" spans="1:11" ht="15.75" customHeight="1" x14ac:dyDescent="0.2"/>
    <row r="38" spans="1:11" s="14" customFormat="1" ht="15.75" customHeight="1" x14ac:dyDescent="0.3">
      <c r="B38" s="112" t="s">
        <v>26</v>
      </c>
      <c r="C38" s="112"/>
      <c r="D38" s="48"/>
      <c r="G38" s="106" t="s">
        <v>27</v>
      </c>
      <c r="H38" s="106"/>
      <c r="J38" s="106" t="s">
        <v>28</v>
      </c>
      <c r="K38" s="106"/>
    </row>
    <row r="39" spans="1:11" s="14" customFormat="1" ht="15.75" customHeight="1" x14ac:dyDescent="0.3">
      <c r="B39" s="48"/>
      <c r="C39" s="48"/>
      <c r="D39" s="48"/>
      <c r="G39" s="47"/>
      <c r="H39" s="47"/>
      <c r="J39" s="47"/>
      <c r="K39" s="47"/>
    </row>
    <row r="40" spans="1:11" s="14" customFormat="1" ht="15.75" customHeight="1" x14ac:dyDescent="0.3">
      <c r="B40" s="113" t="s">
        <v>84</v>
      </c>
      <c r="C40" s="113"/>
      <c r="D40" s="48"/>
      <c r="F40" s="114" t="s">
        <v>29</v>
      </c>
      <c r="G40" s="114"/>
      <c r="H40" s="114"/>
      <c r="J40" s="114" t="s">
        <v>30</v>
      </c>
      <c r="K40" s="114"/>
    </row>
    <row r="41" spans="1:11" s="14" customFormat="1" ht="15.75" customHeight="1" x14ac:dyDescent="0.3">
      <c r="A41" s="15"/>
      <c r="B41" s="113" t="s">
        <v>85</v>
      </c>
      <c r="C41" s="113"/>
      <c r="D41" s="52"/>
      <c r="E41" s="16"/>
      <c r="F41" s="114" t="s">
        <v>31</v>
      </c>
      <c r="G41" s="114"/>
      <c r="H41" s="114"/>
      <c r="I41" s="17"/>
      <c r="J41" s="114" t="s">
        <v>32</v>
      </c>
      <c r="K41" s="114"/>
    </row>
    <row r="42" spans="1:11" s="14" customFormat="1" ht="15.75" customHeight="1" x14ac:dyDescent="0.3">
      <c r="A42" s="15"/>
      <c r="B42" s="115"/>
      <c r="C42" s="115"/>
      <c r="D42" s="45"/>
      <c r="G42" s="115"/>
      <c r="H42" s="115"/>
      <c r="J42" s="115"/>
      <c r="K42" s="115"/>
    </row>
    <row r="43" spans="1:11" ht="15.75" customHeight="1" x14ac:dyDescent="0.2">
      <c r="A43" s="5"/>
      <c r="B43" s="16"/>
      <c r="C43" s="16"/>
      <c r="D43" s="16"/>
      <c r="G43" s="16"/>
      <c r="H43" s="16"/>
      <c r="J43" s="16"/>
      <c r="K43" s="16"/>
    </row>
    <row r="44" spans="1:11" ht="15.75" customHeight="1" x14ac:dyDescent="0.2"/>
    <row r="45" spans="1:11" ht="15.75" customHeight="1" x14ac:dyDescent="0.2">
      <c r="A45" s="18" t="s">
        <v>70</v>
      </c>
    </row>
    <row r="46" spans="1:11" x14ac:dyDescent="0.2">
      <c r="A46" s="18"/>
    </row>
    <row r="47" spans="1:11" x14ac:dyDescent="0.2">
      <c r="A47" s="18"/>
    </row>
    <row r="48" spans="1:11" ht="15.75" customHeight="1" x14ac:dyDescent="0.2">
      <c r="A48" s="18"/>
    </row>
    <row r="49" spans="1:12" ht="15.75" customHeight="1" x14ac:dyDescent="0.25">
      <c r="A49" s="116" t="s">
        <v>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ht="15.75" customHeight="1" x14ac:dyDescent="0.2">
      <c r="B50" s="6"/>
      <c r="C50" s="6"/>
      <c r="D50" s="6"/>
      <c r="E50" s="6"/>
      <c r="F50" s="6"/>
      <c r="G50" s="6"/>
      <c r="H50" s="6"/>
    </row>
    <row r="51" spans="1:12" s="19" customFormat="1" ht="15.75" customHeight="1" x14ac:dyDescent="0.25">
      <c r="A51" s="92" t="s">
        <v>33</v>
      </c>
      <c r="B51" s="92"/>
      <c r="C51" s="92"/>
      <c r="D51" s="46"/>
      <c r="E51" s="92" t="s">
        <v>34</v>
      </c>
      <c r="F51" s="92"/>
      <c r="G51" s="92"/>
      <c r="H51" s="92"/>
      <c r="I51" s="92"/>
      <c r="J51" s="92"/>
      <c r="K51" s="92"/>
      <c r="L51" s="92"/>
    </row>
    <row r="52" spans="1:12" ht="15.75" customHeight="1" x14ac:dyDescent="0.2">
      <c r="A52" s="16"/>
      <c r="B52" s="16"/>
      <c r="C52" s="20"/>
      <c r="D52" s="20"/>
      <c r="F52" s="16"/>
      <c r="G52" s="16"/>
      <c r="H52" s="16"/>
    </row>
    <row r="53" spans="1:12" ht="15.75" customHeight="1" x14ac:dyDescent="0.2">
      <c r="A53" s="21" t="s">
        <v>35</v>
      </c>
      <c r="B53" s="22"/>
      <c r="C53" s="22"/>
      <c r="D53" s="22"/>
      <c r="E53" s="122" t="s">
        <v>36</v>
      </c>
      <c r="F53" s="122"/>
      <c r="G53" s="122"/>
      <c r="H53" s="122"/>
      <c r="I53" s="122"/>
    </row>
    <row r="54" spans="1:12" ht="5.0999999999999996" customHeight="1" x14ac:dyDescent="0.2">
      <c r="A54" s="44"/>
      <c r="B54" s="44"/>
      <c r="C54" s="44"/>
      <c r="D54" s="44"/>
      <c r="E54" s="44"/>
      <c r="F54" s="23"/>
      <c r="G54" s="23"/>
    </row>
    <row r="55" spans="1:12" ht="15.75" customHeight="1" x14ac:dyDescent="0.25">
      <c r="A55" s="123" t="s">
        <v>37</v>
      </c>
      <c r="B55" s="123"/>
      <c r="C55" s="22"/>
      <c r="D55" s="22"/>
      <c r="E55" s="122" t="s">
        <v>38</v>
      </c>
      <c r="F55" s="122"/>
      <c r="G55" s="122"/>
      <c r="H55" s="122"/>
      <c r="I55" s="122"/>
      <c r="J55" s="24"/>
      <c r="K55" s="24"/>
      <c r="L55" s="24"/>
    </row>
    <row r="56" spans="1:12" ht="5.0999999999999996" customHeight="1" x14ac:dyDescent="0.2">
      <c r="A56" s="5"/>
      <c r="B56" s="5"/>
    </row>
    <row r="57" spans="1:12" ht="15.75" customHeight="1" x14ac:dyDescent="0.25">
      <c r="A57" s="25" t="s">
        <v>39</v>
      </c>
      <c r="B57" s="25"/>
      <c r="E57" s="2" t="s">
        <v>40</v>
      </c>
    </row>
    <row r="58" spans="1:12" ht="5.0999999999999996" customHeight="1" x14ac:dyDescent="0.2">
      <c r="A58" s="5"/>
      <c r="B58" s="5"/>
    </row>
    <row r="59" spans="1:12" ht="47.25" customHeight="1" x14ac:dyDescent="0.25">
      <c r="A59" s="26" t="s">
        <v>41</v>
      </c>
      <c r="B59" s="25"/>
      <c r="E59" s="118" t="s">
        <v>42</v>
      </c>
      <c r="F59" s="118"/>
      <c r="G59" s="118"/>
      <c r="H59" s="118"/>
      <c r="I59" s="118"/>
      <c r="J59" s="118"/>
      <c r="K59" s="118"/>
      <c r="L59" s="118"/>
    </row>
    <row r="60" spans="1:12" ht="5.0999999999999996" customHeight="1" x14ac:dyDescent="0.2">
      <c r="A60" s="5"/>
      <c r="B60" s="5"/>
      <c r="E60" s="27"/>
    </row>
    <row r="61" spans="1:12" ht="47.25" customHeight="1" x14ac:dyDescent="0.25">
      <c r="A61" s="26" t="s">
        <v>43</v>
      </c>
      <c r="B61" s="25"/>
      <c r="E61" s="124" t="s">
        <v>44</v>
      </c>
      <c r="F61" s="124"/>
      <c r="G61" s="124"/>
      <c r="H61" s="124"/>
      <c r="I61" s="124"/>
      <c r="J61" s="124"/>
      <c r="K61" s="124"/>
      <c r="L61" s="124"/>
    </row>
    <row r="62" spans="1:12" ht="5.0999999999999996" customHeight="1" x14ac:dyDescent="0.25">
      <c r="A62" s="5"/>
      <c r="B62" s="5"/>
      <c r="E62" s="2"/>
    </row>
    <row r="63" spans="1:12" ht="49.5" customHeight="1" x14ac:dyDescent="0.25">
      <c r="A63" s="26" t="s">
        <v>7</v>
      </c>
      <c r="B63" s="25"/>
      <c r="E63" s="117" t="s">
        <v>45</v>
      </c>
      <c r="F63" s="117"/>
      <c r="G63" s="117"/>
      <c r="H63" s="117"/>
      <c r="I63" s="117"/>
      <c r="J63" s="117"/>
      <c r="K63" s="117"/>
      <c r="L63" s="117"/>
    </row>
    <row r="64" spans="1:12" ht="5.0999999999999996" customHeight="1" x14ac:dyDescent="0.25">
      <c r="A64" s="5"/>
      <c r="B64" s="5"/>
      <c r="E64" s="2"/>
    </row>
    <row r="65" spans="1:12" ht="49.5" customHeight="1" x14ac:dyDescent="0.25">
      <c r="A65" s="26" t="s">
        <v>46</v>
      </c>
      <c r="B65" s="25"/>
      <c r="E65" s="117" t="s">
        <v>47</v>
      </c>
      <c r="F65" s="117"/>
      <c r="G65" s="117"/>
      <c r="H65" s="117"/>
      <c r="I65" s="117"/>
      <c r="J65" s="117"/>
      <c r="K65" s="117"/>
      <c r="L65" s="117"/>
    </row>
    <row r="66" spans="1:12" ht="5.0999999999999996" customHeight="1" x14ac:dyDescent="0.2">
      <c r="A66" s="23"/>
      <c r="B66" s="23"/>
    </row>
    <row r="67" spans="1:12" ht="30.75" customHeight="1" x14ac:dyDescent="0.25">
      <c r="A67" s="28" t="s">
        <v>9</v>
      </c>
      <c r="B67" s="25"/>
      <c r="E67" s="118" t="s">
        <v>48</v>
      </c>
      <c r="F67" s="119"/>
      <c r="G67" s="119"/>
      <c r="H67" s="119"/>
      <c r="I67" s="119"/>
      <c r="J67" s="119"/>
      <c r="K67" s="119"/>
      <c r="L67" s="119"/>
    </row>
    <row r="68" spans="1:12" ht="5.0999999999999996" customHeight="1" x14ac:dyDescent="0.2">
      <c r="A68" s="5"/>
      <c r="B68" s="5"/>
    </row>
    <row r="69" spans="1:12" ht="15.75" customHeight="1" x14ac:dyDescent="0.25">
      <c r="A69" s="25" t="s">
        <v>49</v>
      </c>
      <c r="B69" s="25"/>
      <c r="E69" s="2" t="s">
        <v>50</v>
      </c>
    </row>
    <row r="70" spans="1:12" ht="5.0999999999999996" customHeight="1" x14ac:dyDescent="0.2">
      <c r="A70" s="5"/>
      <c r="B70" s="5"/>
    </row>
    <row r="71" spans="1:12" ht="15.75" customHeight="1" x14ac:dyDescent="0.25">
      <c r="A71" s="29" t="s">
        <v>51</v>
      </c>
      <c r="B71" s="25"/>
      <c r="E71" s="30" t="s">
        <v>52</v>
      </c>
    </row>
    <row r="72" spans="1:12" ht="5.0999999999999996" customHeight="1" x14ac:dyDescent="0.2">
      <c r="A72" s="5"/>
      <c r="B72" s="5"/>
    </row>
    <row r="73" spans="1:12" ht="15.75" customHeight="1" x14ac:dyDescent="0.25">
      <c r="A73" s="25" t="s">
        <v>53</v>
      </c>
      <c r="B73" s="25"/>
      <c r="E73" s="2" t="s">
        <v>54</v>
      </c>
    </row>
    <row r="74" spans="1:12" ht="5.0999999999999996" customHeight="1" x14ac:dyDescent="0.2">
      <c r="A74" s="5"/>
      <c r="B74" s="5"/>
    </row>
    <row r="75" spans="1:12" ht="15.75" customHeight="1" x14ac:dyDescent="0.25">
      <c r="A75" s="25" t="s">
        <v>55</v>
      </c>
      <c r="B75" s="25"/>
      <c r="E75" s="2" t="s">
        <v>56</v>
      </c>
    </row>
    <row r="76" spans="1:12" ht="5.0999999999999996" customHeight="1" x14ac:dyDescent="0.25">
      <c r="A76" s="25"/>
      <c r="B76" s="25"/>
      <c r="E76" s="2"/>
    </row>
    <row r="77" spans="1:12" ht="15.75" customHeight="1" x14ac:dyDescent="0.25">
      <c r="A77" s="29" t="s">
        <v>57</v>
      </c>
      <c r="B77" s="25"/>
      <c r="E77" s="30" t="s">
        <v>58</v>
      </c>
    </row>
    <row r="78" spans="1:12" ht="5.0999999999999996" customHeight="1" x14ac:dyDescent="0.2">
      <c r="A78" s="5"/>
      <c r="B78" s="5"/>
    </row>
    <row r="79" spans="1:12" ht="37.5" customHeight="1" x14ac:dyDescent="0.25">
      <c r="A79" s="31" t="s">
        <v>59</v>
      </c>
      <c r="B79" s="25"/>
      <c r="E79" s="120" t="s">
        <v>60</v>
      </c>
      <c r="F79" s="121"/>
      <c r="G79" s="121"/>
      <c r="H79" s="121"/>
      <c r="I79" s="121"/>
      <c r="J79" s="121"/>
      <c r="K79" s="121"/>
      <c r="L79" s="121"/>
    </row>
    <row r="80" spans="1:12" ht="5.0999999999999996" customHeight="1" x14ac:dyDescent="0.2">
      <c r="A80" s="5"/>
      <c r="B80" s="5"/>
    </row>
    <row r="81" spans="1:5" ht="15.75" customHeight="1" x14ac:dyDescent="0.25">
      <c r="A81" s="25" t="s">
        <v>61</v>
      </c>
      <c r="B81" s="25"/>
      <c r="E81" s="2" t="s">
        <v>62</v>
      </c>
    </row>
    <row r="82" spans="1:5" ht="5.0999999999999996" customHeight="1" x14ac:dyDescent="0.2">
      <c r="A82" s="5"/>
      <c r="B82" s="5"/>
    </row>
    <row r="83" spans="1:5" ht="15.75" customHeight="1" x14ac:dyDescent="0.25">
      <c r="A83" s="25" t="s">
        <v>63</v>
      </c>
      <c r="B83" s="25"/>
      <c r="E83" s="2" t="s">
        <v>64</v>
      </c>
    </row>
    <row r="84" spans="1:5" ht="5.0999999999999996" customHeight="1" x14ac:dyDescent="0.2">
      <c r="A84" s="5"/>
      <c r="B84" s="5"/>
    </row>
    <row r="85" spans="1:5" ht="15.75" customHeight="1" x14ac:dyDescent="0.25">
      <c r="A85" s="25" t="s">
        <v>65</v>
      </c>
      <c r="B85" s="25"/>
      <c r="E85" s="2" t="s">
        <v>66</v>
      </c>
    </row>
    <row r="86" spans="1:5" ht="5.0999999999999996" customHeight="1" x14ac:dyDescent="0.2">
      <c r="A86" s="5"/>
      <c r="B86" s="5"/>
    </row>
    <row r="87" spans="1:5" ht="15.75" customHeight="1" x14ac:dyDescent="0.25">
      <c r="A87" s="25" t="s">
        <v>67</v>
      </c>
      <c r="B87" s="25"/>
      <c r="E87" s="2" t="s">
        <v>68</v>
      </c>
    </row>
    <row r="88" spans="1:5" ht="5.0999999999999996" customHeight="1" x14ac:dyDescent="0.2">
      <c r="A88" s="5"/>
      <c r="B88" s="5"/>
    </row>
    <row r="89" spans="1:5" ht="15.75" customHeight="1" x14ac:dyDescent="0.25">
      <c r="A89" s="32" t="s">
        <v>15</v>
      </c>
      <c r="B89" s="25"/>
      <c r="E89" s="2" t="s">
        <v>69</v>
      </c>
    </row>
  </sheetData>
  <mergeCells count="55">
    <mergeCell ref="E65:L65"/>
    <mergeCell ref="E67:L67"/>
    <mergeCell ref="E79:L79"/>
    <mergeCell ref="E53:I53"/>
    <mergeCell ref="A55:B55"/>
    <mergeCell ref="E55:I55"/>
    <mergeCell ref="E59:L59"/>
    <mergeCell ref="E61:L61"/>
    <mergeCell ref="E63:L63"/>
    <mergeCell ref="B42:C42"/>
    <mergeCell ref="G42:H42"/>
    <mergeCell ref="J42:K42"/>
    <mergeCell ref="A49:L49"/>
    <mergeCell ref="A51:C51"/>
    <mergeCell ref="E51:L51"/>
    <mergeCell ref="B40:C40"/>
    <mergeCell ref="F40:H40"/>
    <mergeCell ref="J40:K40"/>
    <mergeCell ref="B41:C41"/>
    <mergeCell ref="F41:H41"/>
    <mergeCell ref="J41:K41"/>
    <mergeCell ref="J38:K38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B38:C38"/>
    <mergeCell ref="G38:H38"/>
    <mergeCell ref="B31:C31"/>
    <mergeCell ref="D31:F31"/>
    <mergeCell ref="G31:H31"/>
    <mergeCell ref="B32:C32"/>
    <mergeCell ref="D32:F32"/>
    <mergeCell ref="G32:H32"/>
    <mergeCell ref="C29:I29"/>
    <mergeCell ref="A4:L4"/>
    <mergeCell ref="A6:L6"/>
    <mergeCell ref="C10:G10"/>
    <mergeCell ref="H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ageMargins left="0.62992125984251968" right="0.62992125984251968" top="0.19685039370078741" bottom="0.19685039370078741" header="0" footer="0"/>
  <pageSetup scale="60" fitToHeight="2" orientation="landscape" blackAndWhite="1" r:id="rId1"/>
  <headerFooter alignWithMargins="0">
    <oddFooter>&amp;R</oddFooter>
  </headerFooter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M89"/>
  <sheetViews>
    <sheetView topLeftCell="A10" zoomScale="120" zoomScaleNormal="120" zoomScaleSheetLayoutView="10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J14" sqref="J14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3" ht="15.7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customHeigh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ht="15.75" customHeight="1" x14ac:dyDescent="0.25">
      <c r="A7" s="54"/>
      <c r="B7" s="54"/>
      <c r="C7" s="54"/>
      <c r="D7" s="54"/>
      <c r="E7" s="54" t="s">
        <v>83</v>
      </c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3"/>
      <c r="B8" s="4"/>
      <c r="C8" s="4"/>
      <c r="D8" s="54"/>
      <c r="E8" s="71" t="s">
        <v>87</v>
      </c>
      <c r="F8" s="54"/>
      <c r="G8" s="54"/>
      <c r="H8" s="54"/>
      <c r="I8" s="54"/>
      <c r="J8" s="54"/>
      <c r="K8" s="54"/>
      <c r="L8" s="54"/>
    </row>
    <row r="9" spans="1:13" ht="15.75" customHeight="1" x14ac:dyDescent="0.2">
      <c r="B9" s="5"/>
      <c r="C9" s="5"/>
      <c r="D9" s="5"/>
      <c r="E9" s="6"/>
      <c r="F9" s="6"/>
      <c r="G9" s="6"/>
    </row>
    <row r="10" spans="1:13" ht="15.75" customHeight="1" x14ac:dyDescent="0.25">
      <c r="C10" s="93" t="s">
        <v>2</v>
      </c>
      <c r="D10" s="93"/>
      <c r="E10" s="94"/>
      <c r="F10" s="94"/>
      <c r="G10" s="94"/>
      <c r="H10" s="93" t="s">
        <v>3</v>
      </c>
      <c r="I10" s="93"/>
      <c r="J10" s="93"/>
      <c r="K10" s="93"/>
    </row>
    <row r="11" spans="1:13" ht="15.75" customHeight="1" x14ac:dyDescent="0.25">
      <c r="A11" s="95" t="s">
        <v>4</v>
      </c>
      <c r="B11" s="97" t="s">
        <v>5</v>
      </c>
      <c r="C11" s="97" t="s">
        <v>6</v>
      </c>
      <c r="D11" s="97" t="s">
        <v>7</v>
      </c>
      <c r="E11" s="98" t="s">
        <v>8</v>
      </c>
      <c r="F11" s="98" t="s">
        <v>9</v>
      </c>
      <c r="G11" s="95" t="s">
        <v>10</v>
      </c>
      <c r="H11" s="98" t="s">
        <v>11</v>
      </c>
      <c r="I11" s="98" t="s">
        <v>12</v>
      </c>
      <c r="J11" s="98" t="s">
        <v>13</v>
      </c>
      <c r="K11" s="98" t="s">
        <v>14</v>
      </c>
      <c r="L11" s="55" t="s">
        <v>15</v>
      </c>
    </row>
    <row r="12" spans="1:13" ht="25.5" customHeight="1" x14ac:dyDescent="0.2">
      <c r="A12" s="96"/>
      <c r="B12" s="97"/>
      <c r="C12" s="97"/>
      <c r="D12" s="97"/>
      <c r="E12" s="98"/>
      <c r="F12" s="98"/>
      <c r="G12" s="96"/>
      <c r="H12" s="98"/>
      <c r="I12" s="98"/>
      <c r="J12" s="98"/>
      <c r="K12" s="98"/>
      <c r="L12" s="7" t="s">
        <v>16</v>
      </c>
    </row>
    <row r="13" spans="1:13" ht="25.5" customHeight="1" x14ac:dyDescent="0.2">
      <c r="A13" s="41" t="s">
        <v>71</v>
      </c>
      <c r="B13" s="37">
        <v>4897707.0199999996</v>
      </c>
      <c r="C13" s="61">
        <f>12939+785444.83+45988+589729.33+18400.1+80541+207292</f>
        <v>1740334.26</v>
      </c>
      <c r="D13" s="37">
        <v>0</v>
      </c>
      <c r="E13" s="37">
        <f>1404880.67+168573.79</f>
        <v>1573454.46</v>
      </c>
      <c r="F13" s="40">
        <f>+E13/C13</f>
        <v>0.90411048967110486</v>
      </c>
      <c r="G13" s="38">
        <f>+C13-E13+D13</f>
        <v>166879.80000000005</v>
      </c>
      <c r="H13" s="37">
        <f>102542.6+83018.7+6550.08-4033.81-3065-160-0.91-5324.67-47.08-11399.49</f>
        <v>168080.41999999998</v>
      </c>
      <c r="I13" s="37"/>
      <c r="J13" s="37">
        <f>600+600.62</f>
        <v>1200.6199999999999</v>
      </c>
      <c r="K13" s="37">
        <f>+H13+I13-J13</f>
        <v>166879.79999999999</v>
      </c>
      <c r="L13" s="62">
        <f>E13/B13</f>
        <v>0.32126349199221804</v>
      </c>
      <c r="M13" s="39">
        <f>+K13-G13</f>
        <v>0</v>
      </c>
    </row>
    <row r="14" spans="1:13" ht="25.5" customHeight="1" x14ac:dyDescent="0.2">
      <c r="A14" s="41" t="s">
        <v>72</v>
      </c>
      <c r="B14" s="37">
        <v>24923915.41</v>
      </c>
      <c r="C14" s="61">
        <v>10255173.52</v>
      </c>
      <c r="D14" s="37">
        <v>21657.79</v>
      </c>
      <c r="E14" s="37">
        <v>9680198.7899999991</v>
      </c>
      <c r="F14" s="40">
        <f t="shared" ref="F14:F25" si="0">+E14/C14</f>
        <v>0.94393320318972029</v>
      </c>
      <c r="G14" s="38">
        <f t="shared" ref="G14:G25" si="1">+C14-E14+D14</f>
        <v>596632.52000000048</v>
      </c>
      <c r="H14" s="37">
        <f>168908.43</f>
        <v>168908.43</v>
      </c>
      <c r="I14" s="37">
        <f>300000+100000+121551+16</f>
        <v>521567</v>
      </c>
      <c r="J14" s="37">
        <f>87198.91+2756+3888</f>
        <v>93842.91</v>
      </c>
      <c r="K14" s="37">
        <f>+H14+I14-J14</f>
        <v>596632.5199999999</v>
      </c>
      <c r="L14" s="62">
        <f t="shared" ref="L14:L25" si="2">E14/B14</f>
        <v>0.38838997126896441</v>
      </c>
      <c r="M14" s="39">
        <f>+K14-G14</f>
        <v>0</v>
      </c>
    </row>
    <row r="15" spans="1:13" ht="25.5" customHeight="1" x14ac:dyDescent="0.2">
      <c r="A15" s="41" t="s">
        <v>17</v>
      </c>
      <c r="B15" s="37">
        <v>13117037</v>
      </c>
      <c r="C15" s="61">
        <v>6051262.1900000004</v>
      </c>
      <c r="D15" s="37">
        <v>4140.5600000000004</v>
      </c>
      <c r="E15" s="37">
        <v>5792595.8499999996</v>
      </c>
      <c r="F15" s="40">
        <f t="shared" si="0"/>
        <v>0.95725415097242705</v>
      </c>
      <c r="G15" s="38">
        <f t="shared" si="1"/>
        <v>262806.90000000078</v>
      </c>
      <c r="H15" s="37">
        <f>825378.92</f>
        <v>825378.92</v>
      </c>
      <c r="I15" s="37">
        <v>30000</v>
      </c>
      <c r="J15" s="37">
        <f>121551+300000+100000+71003.02+1+1+16</f>
        <v>592572.02</v>
      </c>
      <c r="K15" s="37">
        <f t="shared" ref="K15:K25" si="3">+H15+I15-J15</f>
        <v>262806.90000000002</v>
      </c>
      <c r="L15" s="62">
        <f t="shared" si="2"/>
        <v>0.44160856220806571</v>
      </c>
      <c r="M15" s="39">
        <f t="shared" ref="M15:M25" si="4">+K15-G15</f>
        <v>-7.5669959187507629E-10</v>
      </c>
    </row>
    <row r="16" spans="1:13" ht="25.5" customHeight="1" x14ac:dyDescent="0.2">
      <c r="A16" s="41" t="s">
        <v>73</v>
      </c>
      <c r="B16" s="37">
        <v>59988300</v>
      </c>
      <c r="C16" s="61">
        <v>31912584.600000001</v>
      </c>
      <c r="D16" s="37">
        <v>15.32</v>
      </c>
      <c r="E16" s="37">
        <v>0</v>
      </c>
      <c r="F16" s="40">
        <f t="shared" si="0"/>
        <v>0</v>
      </c>
      <c r="G16" s="38">
        <f t="shared" si="1"/>
        <v>31912599.920000002</v>
      </c>
      <c r="H16" s="37">
        <f>31912599.92</f>
        <v>31912599.920000002</v>
      </c>
      <c r="I16" s="37"/>
      <c r="J16" s="37"/>
      <c r="K16" s="37">
        <f t="shared" si="3"/>
        <v>31912599.920000002</v>
      </c>
      <c r="L16" s="62">
        <f t="shared" si="2"/>
        <v>0</v>
      </c>
      <c r="M16" s="39">
        <f t="shared" si="4"/>
        <v>0</v>
      </c>
    </row>
    <row r="17" spans="1:13" ht="25.5" customHeight="1" x14ac:dyDescent="0.2">
      <c r="A17" s="41" t="s">
        <v>74</v>
      </c>
      <c r="B17" s="37">
        <v>13007303.76</v>
      </c>
      <c r="C17" s="61">
        <v>6146174.7000000002</v>
      </c>
      <c r="D17" s="37">
        <v>10.119999999999999</v>
      </c>
      <c r="E17" s="37">
        <v>4870610.46</v>
      </c>
      <c r="F17" s="40">
        <f t="shared" si="0"/>
        <v>0.79246209190897221</v>
      </c>
      <c r="G17" s="38">
        <f t="shared" si="1"/>
        <v>1275574.3600000003</v>
      </c>
      <c r="H17" s="37">
        <f>1294730.21</f>
        <v>1294730.21</v>
      </c>
      <c r="I17" s="37">
        <v>1670</v>
      </c>
      <c r="J17" s="42">
        <v>20825.849999999999</v>
      </c>
      <c r="K17" s="37">
        <f t="shared" si="3"/>
        <v>1275574.3599999999</v>
      </c>
      <c r="L17" s="62">
        <f t="shared" si="2"/>
        <v>0.37445196559321375</v>
      </c>
      <c r="M17" s="39">
        <f t="shared" si="4"/>
        <v>0</v>
      </c>
    </row>
    <row r="18" spans="1:13" ht="25.5" customHeight="1" x14ac:dyDescent="0.2">
      <c r="A18" s="41" t="s">
        <v>78</v>
      </c>
      <c r="B18" s="37">
        <v>443091</v>
      </c>
      <c r="C18" s="61">
        <v>220993.48</v>
      </c>
      <c r="D18" s="37">
        <v>15.01</v>
      </c>
      <c r="E18" s="37">
        <v>180320.54</v>
      </c>
      <c r="F18" s="40">
        <f t="shared" si="0"/>
        <v>0.81595411774139215</v>
      </c>
      <c r="G18" s="38">
        <f t="shared" si="1"/>
        <v>40687.950000000004</v>
      </c>
      <c r="H18" s="37">
        <f>40687.95</f>
        <v>40687.949999999997</v>
      </c>
      <c r="I18" s="37"/>
      <c r="J18" s="37"/>
      <c r="K18" s="37">
        <f t="shared" si="3"/>
        <v>40687.949999999997</v>
      </c>
      <c r="L18" s="62">
        <f t="shared" si="2"/>
        <v>0.40696051149763818</v>
      </c>
      <c r="M18" s="39">
        <f t="shared" si="4"/>
        <v>0</v>
      </c>
    </row>
    <row r="19" spans="1:13" ht="25.5" customHeight="1" x14ac:dyDescent="0.2">
      <c r="A19" s="41" t="s">
        <v>75</v>
      </c>
      <c r="B19" s="37">
        <v>224421</v>
      </c>
      <c r="C19" s="61">
        <v>132630.14000000001</v>
      </c>
      <c r="D19" s="37">
        <v>35.299999999999997</v>
      </c>
      <c r="E19" s="37">
        <v>90352.73</v>
      </c>
      <c r="F19" s="40">
        <f t="shared" si="0"/>
        <v>0.68123829168845018</v>
      </c>
      <c r="G19" s="38">
        <f t="shared" si="1"/>
        <v>42312.710000000021</v>
      </c>
      <c r="H19" s="37">
        <f>42312.71</f>
        <v>42312.71</v>
      </c>
      <c r="I19" s="37"/>
      <c r="J19" s="37"/>
      <c r="K19" s="37">
        <f t="shared" si="3"/>
        <v>42312.71</v>
      </c>
      <c r="L19" s="62">
        <f t="shared" si="2"/>
        <v>0.40260372246803994</v>
      </c>
      <c r="M19" s="39">
        <f t="shared" si="4"/>
        <v>0</v>
      </c>
    </row>
    <row r="20" spans="1:13" ht="25.5" customHeight="1" x14ac:dyDescent="0.2">
      <c r="A20" s="41" t="s">
        <v>79</v>
      </c>
      <c r="B20" s="37">
        <v>696289</v>
      </c>
      <c r="C20" s="61">
        <v>334009.81</v>
      </c>
      <c r="D20" s="37">
        <v>9.8699999999999992</v>
      </c>
      <c r="E20" s="37">
        <v>76318.789999999994</v>
      </c>
      <c r="F20" s="40">
        <f t="shared" si="0"/>
        <v>0.22849266014073058</v>
      </c>
      <c r="G20" s="38">
        <f t="shared" si="1"/>
        <v>257700.89</v>
      </c>
      <c r="H20" s="37">
        <f>257700.89</f>
        <v>257700.89</v>
      </c>
      <c r="I20" s="37"/>
      <c r="J20" s="37"/>
      <c r="K20" s="37">
        <f t="shared" si="3"/>
        <v>257700.89</v>
      </c>
      <c r="L20" s="62">
        <f t="shared" si="2"/>
        <v>0.10960792142343193</v>
      </c>
      <c r="M20" s="39">
        <f t="shared" si="4"/>
        <v>0</v>
      </c>
    </row>
    <row r="21" spans="1:13" ht="25.5" customHeight="1" x14ac:dyDescent="0.2">
      <c r="A21" s="41" t="s">
        <v>76</v>
      </c>
      <c r="B21" s="37">
        <v>853218</v>
      </c>
      <c r="C21" s="61">
        <v>320023.27</v>
      </c>
      <c r="D21" s="37">
        <v>142.79</v>
      </c>
      <c r="E21" s="37">
        <v>303496.14</v>
      </c>
      <c r="F21" s="40">
        <f t="shared" si="0"/>
        <v>0.94835647420264158</v>
      </c>
      <c r="G21" s="38">
        <f t="shared" si="1"/>
        <v>16669.920000000006</v>
      </c>
      <c r="H21" s="37">
        <f>16669.92</f>
        <v>16669.919999999998</v>
      </c>
      <c r="I21" s="37"/>
      <c r="J21" s="37"/>
      <c r="K21" s="37">
        <f t="shared" si="3"/>
        <v>16669.919999999998</v>
      </c>
      <c r="L21" s="62">
        <f t="shared" si="2"/>
        <v>0.35570761516986282</v>
      </c>
      <c r="M21" s="39">
        <f t="shared" si="4"/>
        <v>0</v>
      </c>
    </row>
    <row r="22" spans="1:13" ht="25.5" customHeight="1" x14ac:dyDescent="0.2">
      <c r="A22" s="41" t="s">
        <v>77</v>
      </c>
      <c r="B22" s="37">
        <v>43012</v>
      </c>
      <c r="C22" s="61">
        <v>18458.400000000001</v>
      </c>
      <c r="D22" s="37">
        <v>3.02</v>
      </c>
      <c r="E22" s="37">
        <v>14000</v>
      </c>
      <c r="F22" s="40">
        <f t="shared" si="0"/>
        <v>0.75846227191955962</v>
      </c>
      <c r="G22" s="38">
        <f t="shared" si="1"/>
        <v>4461.4200000000019</v>
      </c>
      <c r="H22" s="37">
        <f>4461.42</f>
        <v>4461.42</v>
      </c>
      <c r="I22" s="37"/>
      <c r="J22" s="37"/>
      <c r="K22" s="37">
        <f t="shared" si="3"/>
        <v>4461.42</v>
      </c>
      <c r="L22" s="62">
        <f t="shared" si="2"/>
        <v>0.32549056077373756</v>
      </c>
      <c r="M22" s="39">
        <f t="shared" si="4"/>
        <v>0</v>
      </c>
    </row>
    <row r="23" spans="1:13" ht="25.5" customHeight="1" x14ac:dyDescent="0.2">
      <c r="A23" s="41" t="s">
        <v>80</v>
      </c>
      <c r="B23" s="37">
        <v>720000</v>
      </c>
      <c r="C23" s="61">
        <v>0.1</v>
      </c>
      <c r="D23" s="37">
        <v>34.72</v>
      </c>
      <c r="E23" s="37">
        <v>0</v>
      </c>
      <c r="F23" s="40">
        <f t="shared" si="0"/>
        <v>0</v>
      </c>
      <c r="G23" s="38">
        <f t="shared" si="1"/>
        <v>34.82</v>
      </c>
      <c r="H23" s="37">
        <f>34.82</f>
        <v>34.82</v>
      </c>
      <c r="I23" s="37"/>
      <c r="J23" s="37"/>
      <c r="K23" s="37">
        <f t="shared" si="3"/>
        <v>34.82</v>
      </c>
      <c r="L23" s="62">
        <f t="shared" si="2"/>
        <v>0</v>
      </c>
      <c r="M23" s="39">
        <f t="shared" si="4"/>
        <v>0</v>
      </c>
    </row>
    <row r="24" spans="1:13" ht="25.5" customHeight="1" x14ac:dyDescent="0.2">
      <c r="A24" s="41" t="s">
        <v>82</v>
      </c>
      <c r="B24" s="37">
        <v>1800000</v>
      </c>
      <c r="C24" s="61">
        <v>785733.1</v>
      </c>
      <c r="D24" s="37">
        <v>85.85</v>
      </c>
      <c r="E24" s="37">
        <v>482550</v>
      </c>
      <c r="F24" s="40">
        <f t="shared" si="0"/>
        <v>0.61413983959693186</v>
      </c>
      <c r="G24" s="38">
        <f t="shared" si="1"/>
        <v>303268.94999999995</v>
      </c>
      <c r="H24" s="37">
        <f>303268.95</f>
        <v>303268.95</v>
      </c>
      <c r="I24" s="37"/>
      <c r="J24" s="37"/>
      <c r="K24" s="37">
        <f t="shared" si="3"/>
        <v>303268.95</v>
      </c>
      <c r="L24" s="62">
        <f t="shared" si="2"/>
        <v>0.26808333333333334</v>
      </c>
      <c r="M24" s="39">
        <f t="shared" si="4"/>
        <v>0</v>
      </c>
    </row>
    <row r="25" spans="1:13" ht="25.5" customHeight="1" x14ac:dyDescent="0.2">
      <c r="A25" s="41" t="s">
        <v>81</v>
      </c>
      <c r="B25" s="37">
        <v>700000</v>
      </c>
      <c r="C25" s="61">
        <v>299635.44</v>
      </c>
      <c r="D25" s="37">
        <v>227.19</v>
      </c>
      <c r="E25" s="37">
        <v>0</v>
      </c>
      <c r="F25" s="40">
        <f t="shared" si="0"/>
        <v>0</v>
      </c>
      <c r="G25" s="38">
        <f t="shared" si="1"/>
        <v>299862.63</v>
      </c>
      <c r="H25" s="37">
        <f>299862.63</f>
        <v>299862.63</v>
      </c>
      <c r="I25" s="37"/>
      <c r="J25" s="37"/>
      <c r="K25" s="37">
        <f t="shared" si="3"/>
        <v>299862.63</v>
      </c>
      <c r="L25" s="62">
        <f t="shared" si="2"/>
        <v>0</v>
      </c>
      <c r="M25" s="39">
        <f t="shared" si="4"/>
        <v>0</v>
      </c>
    </row>
    <row r="26" spans="1:13" ht="25.5" customHeight="1" x14ac:dyDescent="0.25">
      <c r="A26" s="34"/>
      <c r="B26" s="35"/>
      <c r="C26" s="35"/>
      <c r="D26" s="35"/>
      <c r="E26" s="37"/>
      <c r="F26" s="40"/>
      <c r="G26" s="38"/>
      <c r="H26" s="37"/>
      <c r="I26" s="37"/>
      <c r="J26" s="37"/>
      <c r="K26" s="37"/>
      <c r="L26" s="8"/>
    </row>
    <row r="27" spans="1:13" ht="25.5" customHeight="1" x14ac:dyDescent="0.25">
      <c r="A27" s="33"/>
      <c r="B27" s="36">
        <f t="shared" ref="B27:L27" si="5">SUM(B13:B26)</f>
        <v>121414294.19000001</v>
      </c>
      <c r="C27" s="36">
        <f t="shared" si="5"/>
        <v>58217013.010000005</v>
      </c>
      <c r="D27" s="36">
        <f t="shared" si="5"/>
        <v>26377.539999999997</v>
      </c>
      <c r="E27" s="36">
        <f t="shared" si="5"/>
        <v>23063897.760000002</v>
      </c>
      <c r="F27" s="36">
        <f t="shared" si="5"/>
        <v>7.6444035910319306</v>
      </c>
      <c r="G27" s="36">
        <f t="shared" si="5"/>
        <v>35179492.790000021</v>
      </c>
      <c r="H27" s="36">
        <f t="shared" si="5"/>
        <v>35334697.190000013</v>
      </c>
      <c r="I27" s="36">
        <f t="shared" si="5"/>
        <v>553237</v>
      </c>
      <c r="J27" s="36">
        <f t="shared" si="5"/>
        <v>708441.4</v>
      </c>
      <c r="K27" s="36">
        <f t="shared" si="5"/>
        <v>35179492.790000014</v>
      </c>
      <c r="L27" s="36">
        <f t="shared" si="5"/>
        <v>3.3941676557285052</v>
      </c>
    </row>
    <row r="28" spans="1:13" ht="15.75" customHeight="1" x14ac:dyDescent="0.2">
      <c r="C28" s="9"/>
      <c r="D28" s="9"/>
    </row>
    <row r="29" spans="1:13" ht="15.75" customHeight="1" x14ac:dyDescent="0.2">
      <c r="C29" s="91" t="s">
        <v>18</v>
      </c>
      <c r="D29" s="91"/>
      <c r="E29" s="91"/>
      <c r="F29" s="91"/>
      <c r="G29" s="91"/>
      <c r="H29" s="91"/>
      <c r="I29" s="91"/>
    </row>
    <row r="30" spans="1:13" ht="15.75" customHeight="1" x14ac:dyDescent="0.2">
      <c r="C30" s="53"/>
      <c r="D30" s="53"/>
      <c r="E30" s="53"/>
      <c r="F30" s="53"/>
      <c r="G30" s="53"/>
      <c r="H30" s="53"/>
      <c r="I30" s="53"/>
    </row>
    <row r="31" spans="1:13" ht="15.75" customHeight="1" x14ac:dyDescent="0.25">
      <c r="B31" s="99" t="s">
        <v>19</v>
      </c>
      <c r="C31" s="99"/>
      <c r="D31" s="100" t="s">
        <v>20</v>
      </c>
      <c r="E31" s="101"/>
      <c r="F31" s="102"/>
      <c r="G31" s="103" t="s">
        <v>21</v>
      </c>
      <c r="H31" s="103"/>
      <c r="I31" s="56" t="s">
        <v>9</v>
      </c>
    </row>
    <row r="32" spans="1:13" ht="15.75" customHeight="1" x14ac:dyDescent="0.25">
      <c r="B32" s="104" t="s">
        <v>22</v>
      </c>
      <c r="C32" s="104"/>
      <c r="D32" s="100"/>
      <c r="E32" s="101"/>
      <c r="F32" s="102"/>
      <c r="G32" s="105"/>
      <c r="H32" s="105"/>
      <c r="I32" s="10"/>
    </row>
    <row r="33" spans="1:11" ht="15.75" customHeight="1" x14ac:dyDescent="0.25">
      <c r="B33" s="107" t="s">
        <v>23</v>
      </c>
      <c r="C33" s="107"/>
      <c r="D33" s="108">
        <v>0</v>
      </c>
      <c r="E33" s="109"/>
      <c r="F33" s="110"/>
      <c r="G33" s="111">
        <v>0</v>
      </c>
      <c r="H33" s="111"/>
      <c r="I33" s="43">
        <v>0</v>
      </c>
    </row>
    <row r="34" spans="1:11" ht="15.75" customHeight="1" x14ac:dyDescent="0.25">
      <c r="B34" s="107" t="s">
        <v>24</v>
      </c>
      <c r="C34" s="107"/>
      <c r="D34" s="108">
        <v>2289355</v>
      </c>
      <c r="E34" s="109"/>
      <c r="F34" s="110"/>
      <c r="G34" s="111">
        <v>989887.06</v>
      </c>
      <c r="H34" s="111"/>
      <c r="I34" s="43">
        <f>SUM(G34/D34)</f>
        <v>0.43238687752663962</v>
      </c>
    </row>
    <row r="35" spans="1:11" ht="15.75" customHeight="1" x14ac:dyDescent="0.25">
      <c r="B35" s="107" t="s">
        <v>25</v>
      </c>
      <c r="C35" s="107"/>
      <c r="D35" s="108">
        <v>0</v>
      </c>
      <c r="E35" s="109"/>
      <c r="F35" s="110"/>
      <c r="G35" s="111">
        <v>0</v>
      </c>
      <c r="H35" s="111"/>
      <c r="I35" s="43">
        <v>0</v>
      </c>
    </row>
    <row r="36" spans="1:11" ht="15.75" customHeight="1" x14ac:dyDescent="0.25">
      <c r="B36" s="11"/>
      <c r="C36" s="11"/>
      <c r="D36" s="11"/>
      <c r="E36" s="11"/>
      <c r="F36" s="11"/>
      <c r="G36" s="12"/>
      <c r="H36" s="12"/>
      <c r="I36" s="13"/>
    </row>
    <row r="37" spans="1:11" ht="15.75" customHeight="1" x14ac:dyDescent="0.2"/>
    <row r="38" spans="1:11" s="14" customFormat="1" ht="15.75" customHeight="1" x14ac:dyDescent="0.3">
      <c r="B38" s="112" t="s">
        <v>26</v>
      </c>
      <c r="C38" s="112"/>
      <c r="D38" s="58"/>
      <c r="G38" s="106" t="s">
        <v>27</v>
      </c>
      <c r="H38" s="106"/>
      <c r="J38" s="106" t="s">
        <v>28</v>
      </c>
      <c r="K38" s="106"/>
    </row>
    <row r="39" spans="1:11" s="14" customFormat="1" ht="15.75" customHeight="1" x14ac:dyDescent="0.3">
      <c r="B39" s="58"/>
      <c r="C39" s="58"/>
      <c r="D39" s="58"/>
      <c r="G39" s="57"/>
      <c r="H39" s="57"/>
      <c r="J39" s="57"/>
      <c r="K39" s="57"/>
    </row>
    <row r="40" spans="1:11" s="14" customFormat="1" ht="15.75" customHeight="1" x14ac:dyDescent="0.3">
      <c r="B40" s="113" t="s">
        <v>84</v>
      </c>
      <c r="C40" s="113"/>
      <c r="D40" s="58"/>
      <c r="F40" s="114" t="s">
        <v>29</v>
      </c>
      <c r="G40" s="114"/>
      <c r="H40" s="114"/>
      <c r="J40" s="114" t="s">
        <v>30</v>
      </c>
      <c r="K40" s="114"/>
    </row>
    <row r="41" spans="1:11" s="14" customFormat="1" ht="15.75" customHeight="1" x14ac:dyDescent="0.3">
      <c r="A41" s="15"/>
      <c r="B41" s="113" t="s">
        <v>85</v>
      </c>
      <c r="C41" s="113"/>
      <c r="D41" s="52"/>
      <c r="E41" s="16"/>
      <c r="F41" s="114" t="s">
        <v>31</v>
      </c>
      <c r="G41" s="114"/>
      <c r="H41" s="114"/>
      <c r="I41" s="17"/>
      <c r="J41" s="114" t="s">
        <v>32</v>
      </c>
      <c r="K41" s="114"/>
    </row>
    <row r="42" spans="1:11" s="14" customFormat="1" ht="15.75" customHeight="1" x14ac:dyDescent="0.3">
      <c r="A42" s="15"/>
      <c r="B42" s="115"/>
      <c r="C42" s="115"/>
      <c r="D42" s="59"/>
      <c r="G42" s="115"/>
      <c r="H42" s="115"/>
      <c r="J42" s="115"/>
      <c r="K42" s="115"/>
    </row>
    <row r="43" spans="1:11" ht="15.75" customHeight="1" x14ac:dyDescent="0.2">
      <c r="A43" s="5"/>
      <c r="B43" s="16"/>
      <c r="C43" s="16"/>
      <c r="D43" s="16"/>
      <c r="G43" s="16"/>
      <c r="H43" s="16"/>
      <c r="J43" s="16"/>
      <c r="K43" s="16"/>
    </row>
    <row r="44" spans="1:11" ht="15.75" customHeight="1" x14ac:dyDescent="0.2"/>
    <row r="45" spans="1:11" ht="15.75" customHeight="1" x14ac:dyDescent="0.2">
      <c r="A45" s="18" t="s">
        <v>70</v>
      </c>
    </row>
    <row r="46" spans="1:11" x14ac:dyDescent="0.2">
      <c r="A46" s="18"/>
    </row>
    <row r="47" spans="1:11" x14ac:dyDescent="0.2">
      <c r="A47" s="18"/>
    </row>
    <row r="48" spans="1:11" ht="15.75" customHeight="1" x14ac:dyDescent="0.2">
      <c r="A48" s="18"/>
    </row>
    <row r="49" spans="1:12" ht="15.75" customHeight="1" x14ac:dyDescent="0.25">
      <c r="A49" s="116" t="s">
        <v>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ht="15.75" customHeight="1" x14ac:dyDescent="0.2">
      <c r="B50" s="6"/>
      <c r="C50" s="6"/>
      <c r="D50" s="6"/>
      <c r="E50" s="6"/>
      <c r="F50" s="6"/>
      <c r="G50" s="6"/>
      <c r="H50" s="6"/>
    </row>
    <row r="51" spans="1:12" s="19" customFormat="1" ht="15.75" customHeight="1" x14ac:dyDescent="0.25">
      <c r="A51" s="92" t="s">
        <v>33</v>
      </c>
      <c r="B51" s="92"/>
      <c r="C51" s="92"/>
      <c r="D51" s="54"/>
      <c r="E51" s="92" t="s">
        <v>34</v>
      </c>
      <c r="F51" s="92"/>
      <c r="G51" s="92"/>
      <c r="H51" s="92"/>
      <c r="I51" s="92"/>
      <c r="J51" s="92"/>
      <c r="K51" s="92"/>
      <c r="L51" s="92"/>
    </row>
    <row r="52" spans="1:12" ht="15.75" customHeight="1" x14ac:dyDescent="0.2">
      <c r="A52" s="16"/>
      <c r="B52" s="16"/>
      <c r="C52" s="20"/>
      <c r="D52" s="20"/>
      <c r="F52" s="16"/>
      <c r="G52" s="16"/>
      <c r="H52" s="16"/>
    </row>
    <row r="53" spans="1:12" ht="15.75" customHeight="1" x14ac:dyDescent="0.2">
      <c r="A53" s="21" t="s">
        <v>35</v>
      </c>
      <c r="B53" s="22"/>
      <c r="C53" s="22"/>
      <c r="D53" s="22"/>
      <c r="E53" s="122" t="s">
        <v>36</v>
      </c>
      <c r="F53" s="122"/>
      <c r="G53" s="122"/>
      <c r="H53" s="122"/>
      <c r="I53" s="122"/>
    </row>
    <row r="54" spans="1:12" ht="5.0999999999999996" customHeight="1" x14ac:dyDescent="0.2">
      <c r="A54" s="60"/>
      <c r="B54" s="60"/>
      <c r="C54" s="60"/>
      <c r="D54" s="60"/>
      <c r="E54" s="60"/>
      <c r="F54" s="23"/>
      <c r="G54" s="23"/>
    </row>
    <row r="55" spans="1:12" ht="15.75" customHeight="1" x14ac:dyDescent="0.25">
      <c r="A55" s="123" t="s">
        <v>37</v>
      </c>
      <c r="B55" s="123"/>
      <c r="C55" s="22"/>
      <c r="D55" s="22"/>
      <c r="E55" s="122" t="s">
        <v>38</v>
      </c>
      <c r="F55" s="122"/>
      <c r="G55" s="122"/>
      <c r="H55" s="122"/>
      <c r="I55" s="122"/>
      <c r="J55" s="24"/>
      <c r="K55" s="24"/>
      <c r="L55" s="24"/>
    </row>
    <row r="56" spans="1:12" ht="5.0999999999999996" customHeight="1" x14ac:dyDescent="0.2">
      <c r="A56" s="5"/>
      <c r="B56" s="5"/>
    </row>
    <row r="57" spans="1:12" ht="15.75" customHeight="1" x14ac:dyDescent="0.25">
      <c r="A57" s="25" t="s">
        <v>39</v>
      </c>
      <c r="B57" s="25"/>
      <c r="E57" s="2" t="s">
        <v>40</v>
      </c>
    </row>
    <row r="58" spans="1:12" ht="5.0999999999999996" customHeight="1" x14ac:dyDescent="0.2">
      <c r="A58" s="5"/>
      <c r="B58" s="5"/>
    </row>
    <row r="59" spans="1:12" ht="47.25" customHeight="1" x14ac:dyDescent="0.25">
      <c r="A59" s="26" t="s">
        <v>41</v>
      </c>
      <c r="B59" s="25"/>
      <c r="E59" s="118" t="s">
        <v>42</v>
      </c>
      <c r="F59" s="118"/>
      <c r="G59" s="118"/>
      <c r="H59" s="118"/>
      <c r="I59" s="118"/>
      <c r="J59" s="118"/>
      <c r="K59" s="118"/>
      <c r="L59" s="118"/>
    </row>
    <row r="60" spans="1:12" ht="5.0999999999999996" customHeight="1" x14ac:dyDescent="0.2">
      <c r="A60" s="5"/>
      <c r="B60" s="5"/>
      <c r="E60" s="27"/>
    </row>
    <row r="61" spans="1:12" ht="47.25" customHeight="1" x14ac:dyDescent="0.25">
      <c r="A61" s="26" t="s">
        <v>43</v>
      </c>
      <c r="B61" s="25"/>
      <c r="E61" s="124" t="s">
        <v>44</v>
      </c>
      <c r="F61" s="124"/>
      <c r="G61" s="124"/>
      <c r="H61" s="124"/>
      <c r="I61" s="124"/>
      <c r="J61" s="124"/>
      <c r="K61" s="124"/>
      <c r="L61" s="124"/>
    </row>
    <row r="62" spans="1:12" ht="5.0999999999999996" customHeight="1" x14ac:dyDescent="0.25">
      <c r="A62" s="5"/>
      <c r="B62" s="5"/>
      <c r="E62" s="2"/>
    </row>
    <row r="63" spans="1:12" ht="49.5" customHeight="1" x14ac:dyDescent="0.25">
      <c r="A63" s="26" t="s">
        <v>7</v>
      </c>
      <c r="B63" s="25"/>
      <c r="E63" s="117" t="s">
        <v>45</v>
      </c>
      <c r="F63" s="117"/>
      <c r="G63" s="117"/>
      <c r="H63" s="117"/>
      <c r="I63" s="117"/>
      <c r="J63" s="117"/>
      <c r="K63" s="117"/>
      <c r="L63" s="117"/>
    </row>
    <row r="64" spans="1:12" ht="5.0999999999999996" customHeight="1" x14ac:dyDescent="0.25">
      <c r="A64" s="5"/>
      <c r="B64" s="5"/>
      <c r="E64" s="2"/>
    </row>
    <row r="65" spans="1:12" ht="49.5" customHeight="1" x14ac:dyDescent="0.25">
      <c r="A65" s="26" t="s">
        <v>46</v>
      </c>
      <c r="B65" s="25"/>
      <c r="E65" s="117" t="s">
        <v>47</v>
      </c>
      <c r="F65" s="117"/>
      <c r="G65" s="117"/>
      <c r="H65" s="117"/>
      <c r="I65" s="117"/>
      <c r="J65" s="117"/>
      <c r="K65" s="117"/>
      <c r="L65" s="117"/>
    </row>
    <row r="66" spans="1:12" ht="5.0999999999999996" customHeight="1" x14ac:dyDescent="0.2">
      <c r="A66" s="23"/>
      <c r="B66" s="23"/>
    </row>
    <row r="67" spans="1:12" ht="30.75" customHeight="1" x14ac:dyDescent="0.25">
      <c r="A67" s="28" t="s">
        <v>9</v>
      </c>
      <c r="B67" s="25"/>
      <c r="E67" s="118" t="s">
        <v>48</v>
      </c>
      <c r="F67" s="119"/>
      <c r="G67" s="119"/>
      <c r="H67" s="119"/>
      <c r="I67" s="119"/>
      <c r="J67" s="119"/>
      <c r="K67" s="119"/>
      <c r="L67" s="119"/>
    </row>
    <row r="68" spans="1:12" ht="5.0999999999999996" customHeight="1" x14ac:dyDescent="0.2">
      <c r="A68" s="5"/>
      <c r="B68" s="5"/>
    </row>
    <row r="69" spans="1:12" ht="15.75" customHeight="1" x14ac:dyDescent="0.25">
      <c r="A69" s="25" t="s">
        <v>49</v>
      </c>
      <c r="B69" s="25"/>
      <c r="E69" s="2" t="s">
        <v>50</v>
      </c>
    </row>
    <row r="70" spans="1:12" ht="5.0999999999999996" customHeight="1" x14ac:dyDescent="0.2">
      <c r="A70" s="5"/>
      <c r="B70" s="5"/>
    </row>
    <row r="71" spans="1:12" ht="15.75" customHeight="1" x14ac:dyDescent="0.25">
      <c r="A71" s="29" t="s">
        <v>51</v>
      </c>
      <c r="B71" s="25"/>
      <c r="E71" s="30" t="s">
        <v>52</v>
      </c>
    </row>
    <row r="72" spans="1:12" ht="5.0999999999999996" customHeight="1" x14ac:dyDescent="0.2">
      <c r="A72" s="5"/>
      <c r="B72" s="5"/>
    </row>
    <row r="73" spans="1:12" ht="15.75" customHeight="1" x14ac:dyDescent="0.25">
      <c r="A73" s="25" t="s">
        <v>53</v>
      </c>
      <c r="B73" s="25"/>
      <c r="E73" s="2" t="s">
        <v>54</v>
      </c>
    </row>
    <row r="74" spans="1:12" ht="5.0999999999999996" customHeight="1" x14ac:dyDescent="0.2">
      <c r="A74" s="5"/>
      <c r="B74" s="5"/>
    </row>
    <row r="75" spans="1:12" ht="15.75" customHeight="1" x14ac:dyDescent="0.25">
      <c r="A75" s="25" t="s">
        <v>55</v>
      </c>
      <c r="B75" s="25"/>
      <c r="E75" s="2" t="s">
        <v>56</v>
      </c>
    </row>
    <row r="76" spans="1:12" ht="5.0999999999999996" customHeight="1" x14ac:dyDescent="0.25">
      <c r="A76" s="25"/>
      <c r="B76" s="25"/>
      <c r="E76" s="2"/>
    </row>
    <row r="77" spans="1:12" ht="15.75" customHeight="1" x14ac:dyDescent="0.25">
      <c r="A77" s="29" t="s">
        <v>57</v>
      </c>
      <c r="B77" s="25"/>
      <c r="E77" s="30" t="s">
        <v>58</v>
      </c>
    </row>
    <row r="78" spans="1:12" ht="5.0999999999999996" customHeight="1" x14ac:dyDescent="0.2">
      <c r="A78" s="5"/>
      <c r="B78" s="5"/>
    </row>
    <row r="79" spans="1:12" ht="37.5" customHeight="1" x14ac:dyDescent="0.25">
      <c r="A79" s="31" t="s">
        <v>59</v>
      </c>
      <c r="B79" s="25"/>
      <c r="E79" s="120" t="s">
        <v>60</v>
      </c>
      <c r="F79" s="121"/>
      <c r="G79" s="121"/>
      <c r="H79" s="121"/>
      <c r="I79" s="121"/>
      <c r="J79" s="121"/>
      <c r="K79" s="121"/>
      <c r="L79" s="121"/>
    </row>
    <row r="80" spans="1:12" ht="5.0999999999999996" customHeight="1" x14ac:dyDescent="0.2">
      <c r="A80" s="5"/>
      <c r="B80" s="5"/>
    </row>
    <row r="81" spans="1:5" ht="15.75" customHeight="1" x14ac:dyDescent="0.25">
      <c r="A81" s="25" t="s">
        <v>61</v>
      </c>
      <c r="B81" s="25"/>
      <c r="E81" s="2" t="s">
        <v>62</v>
      </c>
    </row>
    <row r="82" spans="1:5" ht="5.0999999999999996" customHeight="1" x14ac:dyDescent="0.2">
      <c r="A82" s="5"/>
      <c r="B82" s="5"/>
    </row>
    <row r="83" spans="1:5" ht="15.75" customHeight="1" x14ac:dyDescent="0.25">
      <c r="A83" s="25" t="s">
        <v>63</v>
      </c>
      <c r="B83" s="25"/>
      <c r="E83" s="2" t="s">
        <v>64</v>
      </c>
    </row>
    <row r="84" spans="1:5" ht="5.0999999999999996" customHeight="1" x14ac:dyDescent="0.2">
      <c r="A84" s="5"/>
      <c r="B84" s="5"/>
    </row>
    <row r="85" spans="1:5" ht="15.75" customHeight="1" x14ac:dyDescent="0.25">
      <c r="A85" s="25" t="s">
        <v>65</v>
      </c>
      <c r="B85" s="25"/>
      <c r="E85" s="2" t="s">
        <v>66</v>
      </c>
    </row>
    <row r="86" spans="1:5" ht="5.0999999999999996" customHeight="1" x14ac:dyDescent="0.2">
      <c r="A86" s="5"/>
      <c r="B86" s="5"/>
    </row>
    <row r="87" spans="1:5" ht="15.75" customHeight="1" x14ac:dyDescent="0.25">
      <c r="A87" s="25" t="s">
        <v>67</v>
      </c>
      <c r="B87" s="25"/>
      <c r="E87" s="2" t="s">
        <v>68</v>
      </c>
    </row>
    <row r="88" spans="1:5" ht="5.0999999999999996" customHeight="1" x14ac:dyDescent="0.2">
      <c r="A88" s="5"/>
      <c r="B88" s="5"/>
    </row>
    <row r="89" spans="1:5" ht="15.75" customHeight="1" x14ac:dyDescent="0.25">
      <c r="A89" s="32" t="s">
        <v>15</v>
      </c>
      <c r="B89" s="25"/>
      <c r="E89" s="2" t="s">
        <v>69</v>
      </c>
    </row>
  </sheetData>
  <mergeCells count="55">
    <mergeCell ref="C29:I29"/>
    <mergeCell ref="A4:L4"/>
    <mergeCell ref="A6:L6"/>
    <mergeCell ref="C10:G10"/>
    <mergeCell ref="H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31:C31"/>
    <mergeCell ref="D31:F31"/>
    <mergeCell ref="G31:H31"/>
    <mergeCell ref="B32:C32"/>
    <mergeCell ref="D32:F32"/>
    <mergeCell ref="G32:H32"/>
    <mergeCell ref="J38:K38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B38:C38"/>
    <mergeCell ref="G38:H38"/>
    <mergeCell ref="B40:C40"/>
    <mergeCell ref="F40:H40"/>
    <mergeCell ref="J40:K40"/>
    <mergeCell ref="B41:C41"/>
    <mergeCell ref="F41:H41"/>
    <mergeCell ref="J41:K41"/>
    <mergeCell ref="B42:C42"/>
    <mergeCell ref="G42:H42"/>
    <mergeCell ref="J42:K42"/>
    <mergeCell ref="A49:L49"/>
    <mergeCell ref="A51:C51"/>
    <mergeCell ref="E51:L51"/>
    <mergeCell ref="E65:L65"/>
    <mergeCell ref="E67:L67"/>
    <mergeCell ref="E79:L79"/>
    <mergeCell ref="E53:I53"/>
    <mergeCell ref="A55:B55"/>
    <mergeCell ref="E55:I55"/>
    <mergeCell ref="E59:L59"/>
    <mergeCell ref="E61:L61"/>
    <mergeCell ref="E63:L63"/>
  </mergeCells>
  <pageMargins left="0.62992125984251968" right="0.62992125984251968" top="0.19685039370078741" bottom="0.19685039370078741" header="0" footer="0"/>
  <pageSetup scale="60" fitToHeight="2" orientation="landscape" blackAndWhite="1" r:id="rId1"/>
  <headerFooter alignWithMargins="0">
    <oddFooter>&amp;R</oddFooter>
  </headerFooter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M89"/>
  <sheetViews>
    <sheetView topLeftCell="A10" zoomScale="120" zoomScaleNormal="120" zoomScaleSheetLayoutView="10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H13" sqref="H13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3" ht="15.7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customHeigh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ht="15.75" customHeight="1" x14ac:dyDescent="0.25">
      <c r="A7" s="65"/>
      <c r="B7" s="65"/>
      <c r="C7" s="65"/>
      <c r="D7" s="65"/>
      <c r="E7" s="65" t="s">
        <v>83</v>
      </c>
      <c r="F7" s="65"/>
      <c r="G7" s="65"/>
      <c r="H7" s="65"/>
      <c r="I7" s="65"/>
      <c r="J7" s="65"/>
      <c r="K7" s="65"/>
      <c r="L7" s="65"/>
    </row>
    <row r="8" spans="1:13" ht="15.75" customHeight="1" x14ac:dyDescent="0.25">
      <c r="A8" s="3"/>
      <c r="B8" s="4"/>
      <c r="C8" s="4"/>
      <c r="D8" s="65"/>
      <c r="E8" s="71" t="s">
        <v>88</v>
      </c>
      <c r="F8" s="65"/>
      <c r="G8" s="65"/>
      <c r="H8" s="65"/>
      <c r="I8" s="65"/>
      <c r="J8" s="65"/>
      <c r="K8" s="65"/>
      <c r="L8" s="65"/>
    </row>
    <row r="9" spans="1:13" ht="15.75" customHeight="1" x14ac:dyDescent="0.2">
      <c r="B9" s="5"/>
      <c r="C9" s="5"/>
      <c r="D9" s="5"/>
      <c r="E9" s="6"/>
      <c r="F9" s="6"/>
      <c r="G9" s="6"/>
    </row>
    <row r="10" spans="1:13" ht="15.75" customHeight="1" x14ac:dyDescent="0.25">
      <c r="C10" s="93" t="s">
        <v>2</v>
      </c>
      <c r="D10" s="93"/>
      <c r="E10" s="94"/>
      <c r="F10" s="94"/>
      <c r="G10" s="94"/>
      <c r="H10" s="93" t="s">
        <v>3</v>
      </c>
      <c r="I10" s="93"/>
      <c r="J10" s="93"/>
      <c r="K10" s="93"/>
    </row>
    <row r="11" spans="1:13" ht="15.75" customHeight="1" x14ac:dyDescent="0.25">
      <c r="A11" s="95" t="s">
        <v>4</v>
      </c>
      <c r="B11" s="97" t="s">
        <v>5</v>
      </c>
      <c r="C11" s="97" t="s">
        <v>6</v>
      </c>
      <c r="D11" s="97" t="s">
        <v>7</v>
      </c>
      <c r="E11" s="98" t="s">
        <v>8</v>
      </c>
      <c r="F11" s="98" t="s">
        <v>9</v>
      </c>
      <c r="G11" s="95" t="s">
        <v>10</v>
      </c>
      <c r="H11" s="98" t="s">
        <v>11</v>
      </c>
      <c r="I11" s="98" t="s">
        <v>12</v>
      </c>
      <c r="J11" s="98" t="s">
        <v>13</v>
      </c>
      <c r="K11" s="98" t="s">
        <v>14</v>
      </c>
      <c r="L11" s="70" t="s">
        <v>15</v>
      </c>
    </row>
    <row r="12" spans="1:13" ht="25.5" customHeight="1" x14ac:dyDescent="0.2">
      <c r="A12" s="96"/>
      <c r="B12" s="97"/>
      <c r="C12" s="97"/>
      <c r="D12" s="97"/>
      <c r="E12" s="98"/>
      <c r="F12" s="98"/>
      <c r="G12" s="96"/>
      <c r="H12" s="98"/>
      <c r="I12" s="98"/>
      <c r="J12" s="98"/>
      <c r="K12" s="98"/>
      <c r="L12" s="7" t="s">
        <v>16</v>
      </c>
    </row>
    <row r="13" spans="1:13" ht="25.5" customHeight="1" x14ac:dyDescent="0.2">
      <c r="A13" s="41" t="s">
        <v>71</v>
      </c>
      <c r="B13" s="37">
        <v>4897707.0199999996</v>
      </c>
      <c r="C13" s="61">
        <f>17307+805282.95+47611+641207.33+18960.1+100644+210680</f>
        <v>1841692.38</v>
      </c>
      <c r="D13" s="37">
        <v>0</v>
      </c>
      <c r="E13" s="37">
        <f>1569039.19+168573.79</f>
        <v>1737612.98</v>
      </c>
      <c r="F13" s="40">
        <f>+E13/C13</f>
        <v>0.94348708767530443</v>
      </c>
      <c r="G13" s="38">
        <f>+C13-E13+D13</f>
        <v>104079.39999999991</v>
      </c>
      <c r="H13" s="37">
        <f>71386.1+51974.8+6550.08-4033.81-3065-160-0.91-5324.67-47.08-11399.49</f>
        <v>105880.02</v>
      </c>
      <c r="I13" s="37"/>
      <c r="J13" s="37">
        <f>600+600+600.62</f>
        <v>1800.62</v>
      </c>
      <c r="K13" s="37">
        <f>+H13+I13-J13</f>
        <v>104079.40000000001</v>
      </c>
      <c r="L13" s="62">
        <f>E13/B13</f>
        <v>0.35478091541702717</v>
      </c>
      <c r="M13" s="39">
        <f>+K13-G13</f>
        <v>0</v>
      </c>
    </row>
    <row r="14" spans="1:13" ht="25.5" customHeight="1" x14ac:dyDescent="0.2">
      <c r="A14" s="41" t="s">
        <v>72</v>
      </c>
      <c r="B14" s="37">
        <v>24923915.41</v>
      </c>
      <c r="C14" s="61">
        <v>12605896.52</v>
      </c>
      <c r="D14" s="37">
        <v>21657.79</v>
      </c>
      <c r="E14" s="37">
        <f>11750493.13</f>
        <v>11750493.130000001</v>
      </c>
      <c r="F14" s="40">
        <f t="shared" ref="F14:F25" si="0">+E14/C14</f>
        <v>0.93214259781977027</v>
      </c>
      <c r="G14" s="38">
        <f t="shared" ref="G14:G25" si="1">+C14-E14+D14</f>
        <v>877061.17999999877</v>
      </c>
      <c r="H14" s="37">
        <f>473931.47</f>
        <v>473931.47</v>
      </c>
      <c r="I14" s="37">
        <f>300000+121551+200000+17</f>
        <v>621568</v>
      </c>
      <c r="J14" s="37">
        <f>204305.29+2756+9096+2281</f>
        <v>218438.29</v>
      </c>
      <c r="K14" s="37">
        <f>+H14+I14-J14</f>
        <v>877061.17999999993</v>
      </c>
      <c r="L14" s="62">
        <f t="shared" ref="L14:L25" si="2">E14/B14</f>
        <v>0.47145454222194383</v>
      </c>
      <c r="M14" s="39">
        <f>+K14-G14</f>
        <v>1.1641532182693481E-9</v>
      </c>
    </row>
    <row r="15" spans="1:13" ht="25.5" customHeight="1" x14ac:dyDescent="0.2">
      <c r="A15" s="41" t="s">
        <v>17</v>
      </c>
      <c r="B15" s="37">
        <v>13117037</v>
      </c>
      <c r="C15" s="61">
        <v>7103410.0899999999</v>
      </c>
      <c r="D15" s="37">
        <v>4140.5600000000004</v>
      </c>
      <c r="E15" s="37">
        <v>7145564.7800000003</v>
      </c>
      <c r="F15" s="40">
        <f t="shared" si="0"/>
        <v>1.0059344300083906</v>
      </c>
      <c r="G15" s="38">
        <f t="shared" si="1"/>
        <v>-38014.130000000412</v>
      </c>
      <c r="H15" s="37">
        <f>888974.27</f>
        <v>888974.27</v>
      </c>
      <c r="I15" s="37">
        <v>25000</v>
      </c>
      <c r="J15" s="37">
        <f>121551+300000+200000+200000+130419.4+1+17</f>
        <v>951988.4</v>
      </c>
      <c r="K15" s="37">
        <f t="shared" ref="K15:K25" si="3">+H15+I15-J15</f>
        <v>-38014.130000000005</v>
      </c>
      <c r="L15" s="62">
        <f t="shared" si="2"/>
        <v>0.54475448838026452</v>
      </c>
      <c r="M15" s="39">
        <f t="shared" ref="M15:M25" si="4">+K15-G15</f>
        <v>4.0745362639427185E-10</v>
      </c>
    </row>
    <row r="16" spans="1:13" ht="25.5" customHeight="1" x14ac:dyDescent="0.2">
      <c r="A16" s="41" t="s">
        <v>73</v>
      </c>
      <c r="B16" s="37">
        <v>59988300</v>
      </c>
      <c r="C16" s="61">
        <v>38295101.5</v>
      </c>
      <c r="D16" s="37">
        <v>15.32</v>
      </c>
      <c r="E16" s="37">
        <v>0</v>
      </c>
      <c r="F16" s="40">
        <f t="shared" si="0"/>
        <v>0</v>
      </c>
      <c r="G16" s="38">
        <f t="shared" si="1"/>
        <v>38295116.82</v>
      </c>
      <c r="H16" s="37">
        <f>38295116.82</f>
        <v>38295116.82</v>
      </c>
      <c r="I16" s="37"/>
      <c r="J16" s="37"/>
      <c r="K16" s="37">
        <f t="shared" si="3"/>
        <v>38295116.82</v>
      </c>
      <c r="L16" s="62">
        <f t="shared" si="2"/>
        <v>0</v>
      </c>
      <c r="M16" s="39">
        <f t="shared" si="4"/>
        <v>0</v>
      </c>
    </row>
    <row r="17" spans="1:13" ht="25.5" customHeight="1" x14ac:dyDescent="0.2">
      <c r="A17" s="41" t="s">
        <v>74</v>
      </c>
      <c r="B17" s="37">
        <v>14750819</v>
      </c>
      <c r="C17" s="61">
        <v>7375409.6200000001</v>
      </c>
      <c r="D17" s="37">
        <v>10.119999999999999</v>
      </c>
      <c r="E17" s="37">
        <v>6175814.4400000004</v>
      </c>
      <c r="F17" s="40">
        <f t="shared" si="0"/>
        <v>0.83735206018292996</v>
      </c>
      <c r="G17" s="38">
        <f t="shared" si="1"/>
        <v>1199605.2999999998</v>
      </c>
      <c r="H17" s="37">
        <f>1240266.87</f>
        <v>1240266.8700000001</v>
      </c>
      <c r="I17" s="37">
        <v>1670</v>
      </c>
      <c r="J17" s="42">
        <f>42331.57</f>
        <v>42331.57</v>
      </c>
      <c r="K17" s="37">
        <f t="shared" si="3"/>
        <v>1199605.3</v>
      </c>
      <c r="L17" s="62">
        <f t="shared" si="2"/>
        <v>0.41867603690344246</v>
      </c>
      <c r="M17" s="39">
        <f t="shared" si="4"/>
        <v>0</v>
      </c>
    </row>
    <row r="18" spans="1:13" ht="25.5" customHeight="1" x14ac:dyDescent="0.2">
      <c r="A18" s="41" t="s">
        <v>78</v>
      </c>
      <c r="B18" s="37">
        <v>443091</v>
      </c>
      <c r="C18" s="61">
        <v>474796.48</v>
      </c>
      <c r="D18" s="37">
        <v>15.01</v>
      </c>
      <c r="E18" s="37">
        <v>412051.3</v>
      </c>
      <c r="F18" s="40">
        <f t="shared" si="0"/>
        <v>0.86784826205956711</v>
      </c>
      <c r="G18" s="38">
        <f t="shared" si="1"/>
        <v>62760.189999999995</v>
      </c>
      <c r="H18" s="37">
        <f>62760.19</f>
        <v>62760.19</v>
      </c>
      <c r="I18" s="37"/>
      <c r="J18" s="37"/>
      <c r="K18" s="37">
        <f t="shared" si="3"/>
        <v>62760.19</v>
      </c>
      <c r="L18" s="62">
        <f t="shared" si="2"/>
        <v>0.92994734715893568</v>
      </c>
      <c r="M18" s="39">
        <f t="shared" si="4"/>
        <v>0</v>
      </c>
    </row>
    <row r="19" spans="1:13" ht="25.5" customHeight="1" x14ac:dyDescent="0.2">
      <c r="A19" s="41" t="s">
        <v>75</v>
      </c>
      <c r="B19" s="37">
        <v>224421</v>
      </c>
      <c r="C19" s="61">
        <v>152813.84</v>
      </c>
      <c r="D19" s="37">
        <v>35.299999999999997</v>
      </c>
      <c r="E19" s="37">
        <v>117965.73</v>
      </c>
      <c r="F19" s="40">
        <f t="shared" si="0"/>
        <v>0.77195710807345719</v>
      </c>
      <c r="G19" s="38">
        <f t="shared" si="1"/>
        <v>34883.410000000003</v>
      </c>
      <c r="H19" s="37">
        <f>34883.41</f>
        <v>34883.410000000003</v>
      </c>
      <c r="I19" s="37"/>
      <c r="J19" s="37"/>
      <c r="K19" s="37">
        <f t="shared" si="3"/>
        <v>34883.410000000003</v>
      </c>
      <c r="L19" s="62">
        <f t="shared" si="2"/>
        <v>0.52564479259962305</v>
      </c>
      <c r="M19" s="39">
        <f t="shared" si="4"/>
        <v>0</v>
      </c>
    </row>
    <row r="20" spans="1:13" ht="25.5" customHeight="1" x14ac:dyDescent="0.2">
      <c r="A20" s="41" t="s">
        <v>79</v>
      </c>
      <c r="B20" s="37">
        <v>696289</v>
      </c>
      <c r="C20" s="61">
        <v>359900.56</v>
      </c>
      <c r="D20" s="37">
        <v>9.8699999999999992</v>
      </c>
      <c r="E20" s="37">
        <v>136702.57999999999</v>
      </c>
      <c r="F20" s="40">
        <f t="shared" si="0"/>
        <v>0.37983430756540082</v>
      </c>
      <c r="G20" s="38">
        <f t="shared" si="1"/>
        <v>223207.85</v>
      </c>
      <c r="H20" s="37">
        <f>223207.85</f>
        <v>223207.85</v>
      </c>
      <c r="I20" s="37"/>
      <c r="J20" s="37"/>
      <c r="K20" s="37">
        <f t="shared" si="3"/>
        <v>223207.85</v>
      </c>
      <c r="L20" s="62">
        <f t="shared" si="2"/>
        <v>0.19633023069443864</v>
      </c>
      <c r="M20" s="39">
        <f t="shared" si="4"/>
        <v>0</v>
      </c>
    </row>
    <row r="21" spans="1:13" ht="25.5" customHeight="1" x14ac:dyDescent="0.2">
      <c r="A21" s="41" t="s">
        <v>76</v>
      </c>
      <c r="B21" s="37">
        <v>853218</v>
      </c>
      <c r="C21" s="61">
        <v>400495.59</v>
      </c>
      <c r="D21" s="37">
        <v>142.79</v>
      </c>
      <c r="E21" s="37">
        <v>378148.66</v>
      </c>
      <c r="F21" s="40">
        <f t="shared" si="0"/>
        <v>0.94420180756547145</v>
      </c>
      <c r="G21" s="38">
        <f t="shared" si="1"/>
        <v>22489.720000000052</v>
      </c>
      <c r="H21" s="37">
        <f>22489.72</f>
        <v>22489.72</v>
      </c>
      <c r="I21" s="37"/>
      <c r="J21" s="37"/>
      <c r="K21" s="37">
        <f t="shared" si="3"/>
        <v>22489.72</v>
      </c>
      <c r="L21" s="62">
        <f t="shared" si="2"/>
        <v>0.44320286257439478</v>
      </c>
      <c r="M21" s="39">
        <f t="shared" si="4"/>
        <v>-5.0931703299283981E-11</v>
      </c>
    </row>
    <row r="22" spans="1:13" ht="25.5" customHeight="1" x14ac:dyDescent="0.2">
      <c r="A22" s="41" t="s">
        <v>77</v>
      </c>
      <c r="B22" s="37">
        <v>43012</v>
      </c>
      <c r="C22" s="61">
        <v>22150.06</v>
      </c>
      <c r="D22" s="37">
        <v>3.02</v>
      </c>
      <c r="E22" s="37">
        <v>14000</v>
      </c>
      <c r="F22" s="40">
        <f t="shared" si="0"/>
        <v>0.63205246396623749</v>
      </c>
      <c r="G22" s="38">
        <f t="shared" si="1"/>
        <v>8153.0800000000017</v>
      </c>
      <c r="H22" s="37">
        <f>8153.08</f>
        <v>8153.08</v>
      </c>
      <c r="I22" s="37"/>
      <c r="J22" s="37"/>
      <c r="K22" s="37">
        <f t="shared" si="3"/>
        <v>8153.08</v>
      </c>
      <c r="L22" s="62">
        <f t="shared" si="2"/>
        <v>0.32549056077373756</v>
      </c>
      <c r="M22" s="39">
        <f t="shared" si="4"/>
        <v>0</v>
      </c>
    </row>
    <row r="23" spans="1:13" ht="25.5" customHeight="1" x14ac:dyDescent="0.2">
      <c r="A23" s="41" t="s">
        <v>80</v>
      </c>
      <c r="B23" s="37">
        <v>720000</v>
      </c>
      <c r="C23" s="61">
        <v>0.1</v>
      </c>
      <c r="D23" s="37">
        <v>34.72</v>
      </c>
      <c r="E23" s="37">
        <v>0</v>
      </c>
      <c r="F23" s="40">
        <f t="shared" si="0"/>
        <v>0</v>
      </c>
      <c r="G23" s="38">
        <f t="shared" si="1"/>
        <v>34.82</v>
      </c>
      <c r="H23" s="37">
        <f>34.82</f>
        <v>34.82</v>
      </c>
      <c r="I23" s="37"/>
      <c r="J23" s="37"/>
      <c r="K23" s="37">
        <f t="shared" si="3"/>
        <v>34.82</v>
      </c>
      <c r="L23" s="62">
        <f t="shared" si="2"/>
        <v>0</v>
      </c>
      <c r="M23" s="39">
        <f t="shared" si="4"/>
        <v>0</v>
      </c>
    </row>
    <row r="24" spans="1:13" ht="25.5" customHeight="1" x14ac:dyDescent="0.2">
      <c r="A24" s="41" t="s">
        <v>82</v>
      </c>
      <c r="B24" s="37">
        <v>1800000</v>
      </c>
      <c r="C24" s="61">
        <v>1158754.1000000001</v>
      </c>
      <c r="D24" s="37">
        <v>85.85</v>
      </c>
      <c r="E24" s="37">
        <v>950150</v>
      </c>
      <c r="F24" s="40">
        <f t="shared" si="0"/>
        <v>0.81997552371119975</v>
      </c>
      <c r="G24" s="38">
        <f t="shared" si="1"/>
        <v>208689.9500000001</v>
      </c>
      <c r="H24" s="37">
        <f>8689.95</f>
        <v>8689.9500000000007</v>
      </c>
      <c r="I24" s="37">
        <v>200000</v>
      </c>
      <c r="J24" s="37"/>
      <c r="K24" s="37">
        <f t="shared" si="3"/>
        <v>208689.95</v>
      </c>
      <c r="L24" s="62">
        <f t="shared" si="2"/>
        <v>0.52786111111111111</v>
      </c>
      <c r="M24" s="39">
        <f t="shared" si="4"/>
        <v>0</v>
      </c>
    </row>
    <row r="25" spans="1:13" ht="25.5" customHeight="1" x14ac:dyDescent="0.2">
      <c r="A25" s="41" t="s">
        <v>81</v>
      </c>
      <c r="B25" s="37">
        <v>700000</v>
      </c>
      <c r="C25" s="61">
        <v>354296.44</v>
      </c>
      <c r="D25" s="37">
        <v>227.19</v>
      </c>
      <c r="E25" s="37">
        <v>0</v>
      </c>
      <c r="F25" s="40">
        <f t="shared" si="0"/>
        <v>0</v>
      </c>
      <c r="G25" s="38">
        <f t="shared" si="1"/>
        <v>354523.63</v>
      </c>
      <c r="H25" s="37">
        <f>354523.63</f>
        <v>354523.63</v>
      </c>
      <c r="I25" s="37"/>
      <c r="J25" s="37"/>
      <c r="K25" s="37">
        <f t="shared" si="3"/>
        <v>354523.63</v>
      </c>
      <c r="L25" s="62">
        <f t="shared" si="2"/>
        <v>0</v>
      </c>
      <c r="M25" s="39">
        <f t="shared" si="4"/>
        <v>0</v>
      </c>
    </row>
    <row r="26" spans="1:13" ht="25.5" customHeight="1" x14ac:dyDescent="0.25">
      <c r="A26" s="34"/>
      <c r="B26" s="35"/>
      <c r="C26" s="35"/>
      <c r="D26" s="35"/>
      <c r="E26" s="37"/>
      <c r="F26" s="40"/>
      <c r="G26" s="38"/>
      <c r="H26" s="37"/>
      <c r="I26" s="37"/>
      <c r="J26" s="37"/>
      <c r="K26" s="37"/>
      <c r="L26" s="8"/>
    </row>
    <row r="27" spans="1:13" ht="25.5" customHeight="1" x14ac:dyDescent="0.25">
      <c r="A27" s="33"/>
      <c r="B27" s="36">
        <f t="shared" ref="B27:L27" si="5">SUM(B13:B26)</f>
        <v>123157809.43000001</v>
      </c>
      <c r="C27" s="36">
        <f t="shared" si="5"/>
        <v>70144717.280000001</v>
      </c>
      <c r="D27" s="36">
        <f t="shared" si="5"/>
        <v>26377.539999999997</v>
      </c>
      <c r="E27" s="36">
        <f t="shared" si="5"/>
        <v>28818503.600000001</v>
      </c>
      <c r="F27" s="36">
        <f t="shared" si="5"/>
        <v>8.1347856486277301</v>
      </c>
      <c r="G27" s="36">
        <f t="shared" si="5"/>
        <v>41352591.219999991</v>
      </c>
      <c r="H27" s="36">
        <f t="shared" si="5"/>
        <v>41718912.099999994</v>
      </c>
      <c r="I27" s="36">
        <f t="shared" si="5"/>
        <v>848238</v>
      </c>
      <c r="J27" s="36">
        <f t="shared" si="5"/>
        <v>1214558.8800000001</v>
      </c>
      <c r="K27" s="36">
        <f t="shared" si="5"/>
        <v>41352591.219999999</v>
      </c>
      <c r="L27" s="36">
        <f t="shared" si="5"/>
        <v>4.7381428878349192</v>
      </c>
    </row>
    <row r="28" spans="1:13" ht="15.75" customHeight="1" x14ac:dyDescent="0.2">
      <c r="C28" s="9"/>
      <c r="D28" s="9"/>
    </row>
    <row r="29" spans="1:13" ht="15.75" customHeight="1" x14ac:dyDescent="0.2">
      <c r="C29" s="91" t="s">
        <v>18</v>
      </c>
      <c r="D29" s="91"/>
      <c r="E29" s="91"/>
      <c r="F29" s="91"/>
      <c r="G29" s="91"/>
      <c r="H29" s="91"/>
      <c r="I29" s="91"/>
    </row>
    <row r="30" spans="1:13" ht="15.75" customHeight="1" x14ac:dyDescent="0.2">
      <c r="C30" s="69"/>
      <c r="D30" s="69"/>
      <c r="E30" s="69"/>
      <c r="F30" s="69"/>
      <c r="G30" s="69"/>
      <c r="H30" s="69"/>
      <c r="I30" s="69"/>
    </row>
    <row r="31" spans="1:13" ht="15.75" customHeight="1" x14ac:dyDescent="0.25">
      <c r="B31" s="99" t="s">
        <v>19</v>
      </c>
      <c r="C31" s="99"/>
      <c r="D31" s="100" t="s">
        <v>20</v>
      </c>
      <c r="E31" s="101"/>
      <c r="F31" s="102"/>
      <c r="G31" s="103" t="s">
        <v>21</v>
      </c>
      <c r="H31" s="103"/>
      <c r="I31" s="68" t="s">
        <v>9</v>
      </c>
    </row>
    <row r="32" spans="1:13" ht="15.75" customHeight="1" x14ac:dyDescent="0.25">
      <c r="B32" s="104" t="s">
        <v>22</v>
      </c>
      <c r="C32" s="104"/>
      <c r="D32" s="100"/>
      <c r="E32" s="101"/>
      <c r="F32" s="102"/>
      <c r="G32" s="105"/>
      <c r="H32" s="105"/>
      <c r="I32" s="10"/>
    </row>
    <row r="33" spans="1:11" ht="15.75" customHeight="1" x14ac:dyDescent="0.25">
      <c r="B33" s="107" t="s">
        <v>23</v>
      </c>
      <c r="C33" s="107"/>
      <c r="D33" s="108">
        <v>0</v>
      </c>
      <c r="E33" s="109"/>
      <c r="F33" s="110"/>
      <c r="G33" s="111">
        <v>0</v>
      </c>
      <c r="H33" s="111"/>
      <c r="I33" s="43">
        <v>0</v>
      </c>
    </row>
    <row r="34" spans="1:11" ht="15.75" customHeight="1" x14ac:dyDescent="0.25">
      <c r="B34" s="107" t="s">
        <v>24</v>
      </c>
      <c r="C34" s="107"/>
      <c r="D34" s="108">
        <v>2289355</v>
      </c>
      <c r="E34" s="109"/>
      <c r="F34" s="110"/>
      <c r="G34" s="111">
        <v>1195835.06</v>
      </c>
      <c r="H34" s="111"/>
      <c r="I34" s="43">
        <f>SUM(G34/D34)</f>
        <v>0.52234583976709603</v>
      </c>
    </row>
    <row r="35" spans="1:11" ht="15.75" customHeight="1" x14ac:dyDescent="0.25">
      <c r="B35" s="107" t="s">
        <v>25</v>
      </c>
      <c r="C35" s="107"/>
      <c r="D35" s="108">
        <v>0</v>
      </c>
      <c r="E35" s="109"/>
      <c r="F35" s="110"/>
      <c r="G35" s="111">
        <v>0</v>
      </c>
      <c r="H35" s="111"/>
      <c r="I35" s="43">
        <v>0</v>
      </c>
    </row>
    <row r="36" spans="1:11" ht="15.75" customHeight="1" x14ac:dyDescent="0.25">
      <c r="B36" s="11"/>
      <c r="C36" s="11"/>
      <c r="D36" s="11"/>
      <c r="E36" s="11"/>
      <c r="F36" s="11"/>
      <c r="G36" s="12"/>
      <c r="H36" s="12"/>
      <c r="I36" s="13"/>
    </row>
    <row r="37" spans="1:11" ht="15.75" customHeight="1" x14ac:dyDescent="0.2"/>
    <row r="38" spans="1:11" s="14" customFormat="1" ht="15.75" customHeight="1" x14ac:dyDescent="0.3">
      <c r="B38" s="112" t="s">
        <v>26</v>
      </c>
      <c r="C38" s="112"/>
      <c r="D38" s="67"/>
      <c r="G38" s="106" t="s">
        <v>27</v>
      </c>
      <c r="H38" s="106"/>
      <c r="J38" s="106" t="s">
        <v>28</v>
      </c>
      <c r="K38" s="106"/>
    </row>
    <row r="39" spans="1:11" s="14" customFormat="1" ht="15.75" customHeight="1" x14ac:dyDescent="0.3">
      <c r="B39" s="67"/>
      <c r="C39" s="67"/>
      <c r="D39" s="67"/>
      <c r="G39" s="66"/>
      <c r="H39" s="66"/>
      <c r="J39" s="66"/>
      <c r="K39" s="66"/>
    </row>
    <row r="40" spans="1:11" s="14" customFormat="1" ht="15.75" customHeight="1" x14ac:dyDescent="0.3">
      <c r="B40" s="113" t="s">
        <v>84</v>
      </c>
      <c r="C40" s="113"/>
      <c r="D40" s="67"/>
      <c r="F40" s="114" t="s">
        <v>29</v>
      </c>
      <c r="G40" s="114"/>
      <c r="H40" s="114"/>
      <c r="J40" s="114" t="s">
        <v>30</v>
      </c>
      <c r="K40" s="114"/>
    </row>
    <row r="41" spans="1:11" s="14" customFormat="1" ht="15.75" customHeight="1" x14ac:dyDescent="0.3">
      <c r="A41" s="15"/>
      <c r="B41" s="113" t="s">
        <v>85</v>
      </c>
      <c r="C41" s="113"/>
      <c r="D41" s="52"/>
      <c r="E41" s="16"/>
      <c r="F41" s="114" t="s">
        <v>31</v>
      </c>
      <c r="G41" s="114"/>
      <c r="H41" s="114"/>
      <c r="I41" s="17"/>
      <c r="J41" s="114" t="s">
        <v>32</v>
      </c>
      <c r="K41" s="114"/>
    </row>
    <row r="42" spans="1:11" s="14" customFormat="1" ht="15.75" customHeight="1" x14ac:dyDescent="0.3">
      <c r="A42" s="15"/>
      <c r="B42" s="115"/>
      <c r="C42" s="115"/>
      <c r="D42" s="64"/>
      <c r="G42" s="115"/>
      <c r="H42" s="115"/>
      <c r="J42" s="115"/>
      <c r="K42" s="115"/>
    </row>
    <row r="43" spans="1:11" ht="15.75" customHeight="1" x14ac:dyDescent="0.2">
      <c r="A43" s="5"/>
      <c r="B43" s="16"/>
      <c r="C43" s="16"/>
      <c r="D43" s="16"/>
      <c r="G43" s="16"/>
      <c r="H43" s="16"/>
      <c r="J43" s="16"/>
      <c r="K43" s="16"/>
    </row>
    <row r="44" spans="1:11" ht="15.75" customHeight="1" x14ac:dyDescent="0.2"/>
    <row r="45" spans="1:11" ht="15.75" customHeight="1" x14ac:dyDescent="0.2">
      <c r="A45" s="18" t="s">
        <v>70</v>
      </c>
    </row>
    <row r="46" spans="1:11" x14ac:dyDescent="0.2">
      <c r="A46" s="18"/>
    </row>
    <row r="47" spans="1:11" x14ac:dyDescent="0.2">
      <c r="A47" s="18"/>
    </row>
    <row r="48" spans="1:11" ht="15.75" customHeight="1" x14ac:dyDescent="0.2">
      <c r="A48" s="18"/>
    </row>
    <row r="49" spans="1:12" ht="15.75" customHeight="1" x14ac:dyDescent="0.25">
      <c r="A49" s="116" t="s">
        <v>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</row>
    <row r="50" spans="1:12" ht="15.75" customHeight="1" x14ac:dyDescent="0.2">
      <c r="B50" s="6"/>
      <c r="C50" s="6"/>
      <c r="D50" s="6"/>
      <c r="E50" s="6"/>
      <c r="F50" s="6"/>
      <c r="G50" s="6"/>
      <c r="H50" s="6"/>
    </row>
    <row r="51" spans="1:12" s="19" customFormat="1" ht="15.75" customHeight="1" x14ac:dyDescent="0.25">
      <c r="A51" s="92" t="s">
        <v>33</v>
      </c>
      <c r="B51" s="92"/>
      <c r="C51" s="92"/>
      <c r="D51" s="65"/>
      <c r="E51" s="92" t="s">
        <v>34</v>
      </c>
      <c r="F51" s="92"/>
      <c r="G51" s="92"/>
      <c r="H51" s="92"/>
      <c r="I51" s="92"/>
      <c r="J51" s="92"/>
      <c r="K51" s="92"/>
      <c r="L51" s="92"/>
    </row>
    <row r="52" spans="1:12" ht="15.75" customHeight="1" x14ac:dyDescent="0.2">
      <c r="A52" s="16"/>
      <c r="B52" s="16"/>
      <c r="C52" s="20"/>
      <c r="D52" s="20"/>
      <c r="F52" s="16"/>
      <c r="G52" s="16"/>
      <c r="H52" s="16"/>
    </row>
    <row r="53" spans="1:12" ht="15.75" customHeight="1" x14ac:dyDescent="0.2">
      <c r="A53" s="21" t="s">
        <v>35</v>
      </c>
      <c r="B53" s="22"/>
      <c r="C53" s="22"/>
      <c r="D53" s="22"/>
      <c r="E53" s="122" t="s">
        <v>36</v>
      </c>
      <c r="F53" s="122"/>
      <c r="G53" s="122"/>
      <c r="H53" s="122"/>
      <c r="I53" s="122"/>
    </row>
    <row r="54" spans="1:12" ht="5.0999999999999996" customHeight="1" x14ac:dyDescent="0.2">
      <c r="A54" s="63"/>
      <c r="B54" s="63"/>
      <c r="C54" s="63"/>
      <c r="D54" s="63"/>
      <c r="E54" s="63"/>
      <c r="F54" s="23"/>
      <c r="G54" s="23"/>
    </row>
    <row r="55" spans="1:12" ht="15.75" customHeight="1" x14ac:dyDescent="0.25">
      <c r="A55" s="123" t="s">
        <v>37</v>
      </c>
      <c r="B55" s="123"/>
      <c r="C55" s="22"/>
      <c r="D55" s="22"/>
      <c r="E55" s="122" t="s">
        <v>38</v>
      </c>
      <c r="F55" s="122"/>
      <c r="G55" s="122"/>
      <c r="H55" s="122"/>
      <c r="I55" s="122"/>
      <c r="J55" s="24"/>
      <c r="K55" s="24"/>
      <c r="L55" s="24"/>
    </row>
    <row r="56" spans="1:12" ht="5.0999999999999996" customHeight="1" x14ac:dyDescent="0.2">
      <c r="A56" s="5"/>
      <c r="B56" s="5"/>
    </row>
    <row r="57" spans="1:12" ht="15.75" customHeight="1" x14ac:dyDescent="0.25">
      <c r="A57" s="25" t="s">
        <v>39</v>
      </c>
      <c r="B57" s="25"/>
      <c r="E57" s="2" t="s">
        <v>40</v>
      </c>
    </row>
    <row r="58" spans="1:12" ht="5.0999999999999996" customHeight="1" x14ac:dyDescent="0.2">
      <c r="A58" s="5"/>
      <c r="B58" s="5"/>
    </row>
    <row r="59" spans="1:12" ht="47.25" customHeight="1" x14ac:dyDescent="0.25">
      <c r="A59" s="26" t="s">
        <v>41</v>
      </c>
      <c r="B59" s="25"/>
      <c r="E59" s="118" t="s">
        <v>42</v>
      </c>
      <c r="F59" s="118"/>
      <c r="G59" s="118"/>
      <c r="H59" s="118"/>
      <c r="I59" s="118"/>
      <c r="J59" s="118"/>
      <c r="K59" s="118"/>
      <c r="L59" s="118"/>
    </row>
    <row r="60" spans="1:12" ht="5.0999999999999996" customHeight="1" x14ac:dyDescent="0.2">
      <c r="A60" s="5"/>
      <c r="B60" s="5"/>
      <c r="E60" s="27"/>
    </row>
    <row r="61" spans="1:12" ht="47.25" customHeight="1" x14ac:dyDescent="0.25">
      <c r="A61" s="26" t="s">
        <v>43</v>
      </c>
      <c r="B61" s="25"/>
      <c r="E61" s="124" t="s">
        <v>44</v>
      </c>
      <c r="F61" s="124"/>
      <c r="G61" s="124"/>
      <c r="H61" s="124"/>
      <c r="I61" s="124"/>
      <c r="J61" s="124"/>
      <c r="K61" s="124"/>
      <c r="L61" s="124"/>
    </row>
    <row r="62" spans="1:12" ht="5.0999999999999996" customHeight="1" x14ac:dyDescent="0.25">
      <c r="A62" s="5"/>
      <c r="B62" s="5"/>
      <c r="E62" s="2"/>
    </row>
    <row r="63" spans="1:12" ht="49.5" customHeight="1" x14ac:dyDescent="0.25">
      <c r="A63" s="26" t="s">
        <v>7</v>
      </c>
      <c r="B63" s="25"/>
      <c r="E63" s="117" t="s">
        <v>45</v>
      </c>
      <c r="F63" s="117"/>
      <c r="G63" s="117"/>
      <c r="H63" s="117"/>
      <c r="I63" s="117"/>
      <c r="J63" s="117"/>
      <c r="K63" s="117"/>
      <c r="L63" s="117"/>
    </row>
    <row r="64" spans="1:12" ht="5.0999999999999996" customHeight="1" x14ac:dyDescent="0.25">
      <c r="A64" s="5"/>
      <c r="B64" s="5"/>
      <c r="E64" s="2"/>
    </row>
    <row r="65" spans="1:12" ht="49.5" customHeight="1" x14ac:dyDescent="0.25">
      <c r="A65" s="26" t="s">
        <v>46</v>
      </c>
      <c r="B65" s="25"/>
      <c r="E65" s="117" t="s">
        <v>47</v>
      </c>
      <c r="F65" s="117"/>
      <c r="G65" s="117"/>
      <c r="H65" s="117"/>
      <c r="I65" s="117"/>
      <c r="J65" s="117"/>
      <c r="K65" s="117"/>
      <c r="L65" s="117"/>
    </row>
    <row r="66" spans="1:12" ht="5.0999999999999996" customHeight="1" x14ac:dyDescent="0.2">
      <c r="A66" s="23"/>
      <c r="B66" s="23"/>
    </row>
    <row r="67" spans="1:12" ht="30.75" customHeight="1" x14ac:dyDescent="0.25">
      <c r="A67" s="28" t="s">
        <v>9</v>
      </c>
      <c r="B67" s="25"/>
      <c r="E67" s="118" t="s">
        <v>48</v>
      </c>
      <c r="F67" s="119"/>
      <c r="G67" s="119"/>
      <c r="H67" s="119"/>
      <c r="I67" s="119"/>
      <c r="J67" s="119"/>
      <c r="K67" s="119"/>
      <c r="L67" s="119"/>
    </row>
    <row r="68" spans="1:12" ht="5.0999999999999996" customHeight="1" x14ac:dyDescent="0.2">
      <c r="A68" s="5"/>
      <c r="B68" s="5"/>
    </row>
    <row r="69" spans="1:12" ht="15.75" customHeight="1" x14ac:dyDescent="0.25">
      <c r="A69" s="25" t="s">
        <v>49</v>
      </c>
      <c r="B69" s="25"/>
      <c r="E69" s="2" t="s">
        <v>50</v>
      </c>
    </row>
    <row r="70" spans="1:12" ht="5.0999999999999996" customHeight="1" x14ac:dyDescent="0.2">
      <c r="A70" s="5"/>
      <c r="B70" s="5"/>
    </row>
    <row r="71" spans="1:12" ht="15.75" customHeight="1" x14ac:dyDescent="0.25">
      <c r="A71" s="29" t="s">
        <v>51</v>
      </c>
      <c r="B71" s="25"/>
      <c r="E71" s="30" t="s">
        <v>52</v>
      </c>
    </row>
    <row r="72" spans="1:12" ht="5.0999999999999996" customHeight="1" x14ac:dyDescent="0.2">
      <c r="A72" s="5"/>
      <c r="B72" s="5"/>
    </row>
    <row r="73" spans="1:12" ht="15.75" customHeight="1" x14ac:dyDescent="0.25">
      <c r="A73" s="25" t="s">
        <v>53</v>
      </c>
      <c r="B73" s="25"/>
      <c r="E73" s="2" t="s">
        <v>54</v>
      </c>
    </row>
    <row r="74" spans="1:12" ht="5.0999999999999996" customHeight="1" x14ac:dyDescent="0.2">
      <c r="A74" s="5"/>
      <c r="B74" s="5"/>
    </row>
    <row r="75" spans="1:12" ht="15.75" customHeight="1" x14ac:dyDescent="0.25">
      <c r="A75" s="25" t="s">
        <v>55</v>
      </c>
      <c r="B75" s="25"/>
      <c r="E75" s="2" t="s">
        <v>56</v>
      </c>
    </row>
    <row r="76" spans="1:12" ht="5.0999999999999996" customHeight="1" x14ac:dyDescent="0.25">
      <c r="A76" s="25"/>
      <c r="B76" s="25"/>
      <c r="E76" s="2"/>
    </row>
    <row r="77" spans="1:12" ht="15.75" customHeight="1" x14ac:dyDescent="0.25">
      <c r="A77" s="29" t="s">
        <v>57</v>
      </c>
      <c r="B77" s="25"/>
      <c r="E77" s="30" t="s">
        <v>58</v>
      </c>
    </row>
    <row r="78" spans="1:12" ht="5.0999999999999996" customHeight="1" x14ac:dyDescent="0.2">
      <c r="A78" s="5"/>
      <c r="B78" s="5"/>
    </row>
    <row r="79" spans="1:12" ht="37.5" customHeight="1" x14ac:dyDescent="0.25">
      <c r="A79" s="31" t="s">
        <v>59</v>
      </c>
      <c r="B79" s="25"/>
      <c r="E79" s="120" t="s">
        <v>60</v>
      </c>
      <c r="F79" s="121"/>
      <c r="G79" s="121"/>
      <c r="H79" s="121"/>
      <c r="I79" s="121"/>
      <c r="J79" s="121"/>
      <c r="K79" s="121"/>
      <c r="L79" s="121"/>
    </row>
    <row r="80" spans="1:12" ht="5.0999999999999996" customHeight="1" x14ac:dyDescent="0.2">
      <c r="A80" s="5"/>
      <c r="B80" s="5"/>
    </row>
    <row r="81" spans="1:5" ht="15.75" customHeight="1" x14ac:dyDescent="0.25">
      <c r="A81" s="25" t="s">
        <v>61</v>
      </c>
      <c r="B81" s="25"/>
      <c r="E81" s="2" t="s">
        <v>62</v>
      </c>
    </row>
    <row r="82" spans="1:5" ht="5.0999999999999996" customHeight="1" x14ac:dyDescent="0.2">
      <c r="A82" s="5"/>
      <c r="B82" s="5"/>
    </row>
    <row r="83" spans="1:5" ht="15.75" customHeight="1" x14ac:dyDescent="0.25">
      <c r="A83" s="25" t="s">
        <v>63</v>
      </c>
      <c r="B83" s="25"/>
      <c r="E83" s="2" t="s">
        <v>64</v>
      </c>
    </row>
    <row r="84" spans="1:5" ht="5.0999999999999996" customHeight="1" x14ac:dyDescent="0.2">
      <c r="A84" s="5"/>
      <c r="B84" s="5"/>
    </row>
    <row r="85" spans="1:5" ht="15.75" customHeight="1" x14ac:dyDescent="0.25">
      <c r="A85" s="25" t="s">
        <v>65</v>
      </c>
      <c r="B85" s="25"/>
      <c r="E85" s="2" t="s">
        <v>66</v>
      </c>
    </row>
    <row r="86" spans="1:5" ht="5.0999999999999996" customHeight="1" x14ac:dyDescent="0.2">
      <c r="A86" s="5"/>
      <c r="B86" s="5"/>
    </row>
    <row r="87" spans="1:5" ht="15.75" customHeight="1" x14ac:dyDescent="0.25">
      <c r="A87" s="25" t="s">
        <v>67</v>
      </c>
      <c r="B87" s="25"/>
      <c r="E87" s="2" t="s">
        <v>68</v>
      </c>
    </row>
    <row r="88" spans="1:5" ht="5.0999999999999996" customHeight="1" x14ac:dyDescent="0.2">
      <c r="A88" s="5"/>
      <c r="B88" s="5"/>
    </row>
    <row r="89" spans="1:5" ht="15.75" customHeight="1" x14ac:dyDescent="0.25">
      <c r="A89" s="32" t="s">
        <v>15</v>
      </c>
      <c r="B89" s="25"/>
      <c r="E89" s="2" t="s">
        <v>69</v>
      </c>
    </row>
  </sheetData>
  <mergeCells count="55">
    <mergeCell ref="E65:L65"/>
    <mergeCell ref="E67:L67"/>
    <mergeCell ref="E79:L79"/>
    <mergeCell ref="E53:I53"/>
    <mergeCell ref="A55:B55"/>
    <mergeCell ref="E55:I55"/>
    <mergeCell ref="E59:L59"/>
    <mergeCell ref="E61:L61"/>
    <mergeCell ref="E63:L63"/>
    <mergeCell ref="B42:C42"/>
    <mergeCell ref="G42:H42"/>
    <mergeCell ref="J42:K42"/>
    <mergeCell ref="A49:L49"/>
    <mergeCell ref="A51:C51"/>
    <mergeCell ref="E51:L51"/>
    <mergeCell ref="B40:C40"/>
    <mergeCell ref="F40:H40"/>
    <mergeCell ref="J40:K40"/>
    <mergeCell ref="B41:C41"/>
    <mergeCell ref="F41:H41"/>
    <mergeCell ref="J41:K41"/>
    <mergeCell ref="J38:K38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B38:C38"/>
    <mergeCell ref="G38:H38"/>
    <mergeCell ref="B31:C31"/>
    <mergeCell ref="D31:F31"/>
    <mergeCell ref="G31:H31"/>
    <mergeCell ref="B32:C32"/>
    <mergeCell ref="D32:F32"/>
    <mergeCell ref="G32:H32"/>
    <mergeCell ref="C29:I29"/>
    <mergeCell ref="A4:L4"/>
    <mergeCell ref="A6:L6"/>
    <mergeCell ref="C10:G10"/>
    <mergeCell ref="H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ageMargins left="0.62992125984251968" right="0.62992125984251968" top="0.19685039370078741" bottom="0.19685039370078741" header="0" footer="0"/>
  <pageSetup scale="60" fitToHeight="2" orientation="landscape" blackAndWhite="1" r:id="rId1"/>
  <headerFooter alignWithMargins="0">
    <oddFooter>&amp;R</oddFooter>
  </headerFooter>
  <rowBreaks count="1" manualBreakCount="1">
    <brk id="4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4:M110"/>
  <sheetViews>
    <sheetView topLeftCell="A10" zoomScale="120" zoomScaleNormal="120" zoomScaleSheetLayoutView="10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 activeCell="E8" sqref="E8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3" ht="15.7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5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customHeigh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3" ht="15.75" customHeight="1" x14ac:dyDescent="0.25">
      <c r="A7" s="73"/>
      <c r="B7" s="73"/>
      <c r="C7" s="73"/>
      <c r="D7" s="73"/>
      <c r="E7" s="73" t="s">
        <v>83</v>
      </c>
      <c r="F7" s="73"/>
      <c r="G7" s="73"/>
      <c r="H7" s="73"/>
      <c r="I7" s="73"/>
      <c r="J7" s="73"/>
      <c r="K7" s="73"/>
      <c r="L7" s="73"/>
    </row>
    <row r="8" spans="1:13" ht="15.75" customHeight="1" x14ac:dyDescent="0.25">
      <c r="A8" s="3"/>
      <c r="B8" s="4"/>
      <c r="C8" s="4"/>
      <c r="D8" s="73"/>
      <c r="E8" s="71" t="s">
        <v>89</v>
      </c>
      <c r="F8" s="73"/>
      <c r="G8" s="73"/>
      <c r="H8" s="73"/>
      <c r="I8" s="73"/>
      <c r="J8" s="73"/>
      <c r="K8" s="73"/>
      <c r="L8" s="73"/>
    </row>
    <row r="9" spans="1:13" ht="15.75" customHeight="1" x14ac:dyDescent="0.2">
      <c r="B9" s="5"/>
      <c r="C9" s="5"/>
      <c r="D9" s="5"/>
      <c r="E9" s="6"/>
      <c r="F9" s="6"/>
      <c r="G9" s="6"/>
    </row>
    <row r="10" spans="1:13" ht="15.75" customHeight="1" x14ac:dyDescent="0.25">
      <c r="C10" s="93" t="s">
        <v>2</v>
      </c>
      <c r="D10" s="93"/>
      <c r="E10" s="94"/>
      <c r="F10" s="94"/>
      <c r="G10" s="94"/>
      <c r="H10" s="93" t="s">
        <v>3</v>
      </c>
      <c r="I10" s="93"/>
      <c r="J10" s="93"/>
      <c r="K10" s="93"/>
    </row>
    <row r="11" spans="1:13" ht="15.75" customHeight="1" x14ac:dyDescent="0.25">
      <c r="A11" s="95" t="s">
        <v>4</v>
      </c>
      <c r="B11" s="97" t="s">
        <v>5</v>
      </c>
      <c r="C11" s="97" t="s">
        <v>6</v>
      </c>
      <c r="D11" s="97" t="s">
        <v>7</v>
      </c>
      <c r="E11" s="98" t="s">
        <v>8</v>
      </c>
      <c r="F11" s="98" t="s">
        <v>9</v>
      </c>
      <c r="G11" s="95" t="s">
        <v>10</v>
      </c>
      <c r="H11" s="98" t="s">
        <v>11</v>
      </c>
      <c r="I11" s="98" t="s">
        <v>12</v>
      </c>
      <c r="J11" s="98" t="s">
        <v>13</v>
      </c>
      <c r="K11" s="98" t="s">
        <v>14</v>
      </c>
      <c r="L11" s="78" t="s">
        <v>15</v>
      </c>
    </row>
    <row r="12" spans="1:13" ht="25.5" customHeight="1" x14ac:dyDescent="0.2">
      <c r="A12" s="96"/>
      <c r="B12" s="97"/>
      <c r="C12" s="97"/>
      <c r="D12" s="97"/>
      <c r="E12" s="98"/>
      <c r="F12" s="98"/>
      <c r="G12" s="96"/>
      <c r="H12" s="98"/>
      <c r="I12" s="98"/>
      <c r="J12" s="98"/>
      <c r="K12" s="98"/>
      <c r="L12" s="7" t="s">
        <v>16</v>
      </c>
    </row>
    <row r="13" spans="1:13" ht="25.5" customHeight="1" x14ac:dyDescent="0.2">
      <c r="A13" s="41" t="s">
        <v>71</v>
      </c>
      <c r="B13" s="37">
        <v>4897707.0199999996</v>
      </c>
      <c r="C13" s="61">
        <f>21051+814863.06+53812+722182.01+19920.1+114853+220937</f>
        <v>1967618.1700000002</v>
      </c>
      <c r="D13" s="37">
        <v>0</v>
      </c>
      <c r="E13" s="37">
        <f>1705819.39+174196.68</f>
        <v>1880016.0699999998</v>
      </c>
      <c r="F13" s="40">
        <f>+E13/C13</f>
        <v>0.95547809969654818</v>
      </c>
      <c r="G13" s="38">
        <f>+C13-E13+D13</f>
        <v>87602.100000000326</v>
      </c>
      <c r="H13" s="37">
        <f>72771.1+39735.39+927.19-4033.81-3065-160-0.91-5324.67-47.08-11399.49</f>
        <v>89402.72</v>
      </c>
      <c r="I13" s="37"/>
      <c r="J13" s="37">
        <f>600+600+600.62</f>
        <v>1800.62</v>
      </c>
      <c r="K13" s="37">
        <f>+H13+I13-J13</f>
        <v>87602.1</v>
      </c>
      <c r="L13" s="62">
        <f>E13/B13</f>
        <v>0.38385637652943971</v>
      </c>
      <c r="M13" s="39">
        <f>+K13-G13</f>
        <v>-3.2014213502407074E-10</v>
      </c>
    </row>
    <row r="14" spans="1:13" ht="25.5" customHeight="1" x14ac:dyDescent="0.2">
      <c r="A14" s="41" t="s">
        <v>72</v>
      </c>
      <c r="B14" s="37">
        <v>24923915.41</v>
      </c>
      <c r="C14" s="61">
        <f>14656619.52+141386.17</f>
        <v>14798005.689999999</v>
      </c>
      <c r="D14" s="37">
        <v>21657.79</v>
      </c>
      <c r="E14" s="37">
        <f>13707154.84</f>
        <v>13707154.84</v>
      </c>
      <c r="F14" s="40">
        <f t="shared" ref="F14:F25" si="0">+E14/C14</f>
        <v>0.9262839281960028</v>
      </c>
      <c r="G14" s="38">
        <f t="shared" ref="G14:G25" si="1">+C14-E14+D14</f>
        <v>1112508.6399999997</v>
      </c>
      <c r="H14" s="37">
        <v>690111.81</v>
      </c>
      <c r="I14" s="37">
        <f>300000+200000+17</f>
        <v>500017</v>
      </c>
      <c r="J14" s="37">
        <f>77168.56+2756-2304.39</f>
        <v>77620.17</v>
      </c>
      <c r="K14" s="37">
        <f>+H14+I14-J14</f>
        <v>1112508.6400000001</v>
      </c>
      <c r="L14" s="62">
        <f t="shared" ref="L14:L25" si="2">E14/B14</f>
        <v>0.54995993263965259</v>
      </c>
      <c r="M14" s="39">
        <f>+K14-G14</f>
        <v>0</v>
      </c>
    </row>
    <row r="15" spans="1:13" ht="25.5" customHeight="1" x14ac:dyDescent="0.2">
      <c r="A15" s="41" t="s">
        <v>17</v>
      </c>
      <c r="B15" s="37">
        <v>13117037</v>
      </c>
      <c r="C15" s="61">
        <v>8283966.1100000003</v>
      </c>
      <c r="D15" s="37">
        <v>4140.5600000000004</v>
      </c>
      <c r="E15" s="37">
        <f>8221140.26</f>
        <v>8221140.2599999998</v>
      </c>
      <c r="F15" s="40">
        <f t="shared" si="0"/>
        <v>0.99241596969787693</v>
      </c>
      <c r="G15" s="38">
        <f t="shared" si="1"/>
        <v>66966.410000000556</v>
      </c>
      <c r="H15" s="37">
        <f>612987.43</f>
        <v>612987.43000000005</v>
      </c>
      <c r="I15" s="37">
        <v>25000</v>
      </c>
      <c r="J15" s="37">
        <f>300000+200000+71003.02+1+17</f>
        <v>571021.02</v>
      </c>
      <c r="K15" s="37">
        <f t="shared" ref="K15:K25" si="3">+H15+I15-J15</f>
        <v>66966.410000000033</v>
      </c>
      <c r="L15" s="62">
        <f t="shared" si="2"/>
        <v>0.62675284517379948</v>
      </c>
      <c r="M15" s="39">
        <f t="shared" ref="M15:M25" si="4">+K15-G15</f>
        <v>-5.2386894822120667E-10</v>
      </c>
    </row>
    <row r="16" spans="1:13" ht="25.5" customHeight="1" x14ac:dyDescent="0.2">
      <c r="A16" s="41" t="s">
        <v>73</v>
      </c>
      <c r="B16" s="37">
        <v>59988300</v>
      </c>
      <c r="C16" s="61">
        <v>44677618.399999999</v>
      </c>
      <c r="D16" s="37">
        <v>15.32</v>
      </c>
      <c r="E16" s="37">
        <v>1000000</v>
      </c>
      <c r="F16" s="40">
        <f t="shared" si="0"/>
        <v>2.2382571762151048E-2</v>
      </c>
      <c r="G16" s="38">
        <f t="shared" si="1"/>
        <v>43677633.719999999</v>
      </c>
      <c r="H16" s="37">
        <f>41555501.11</f>
        <v>41555501.109999999</v>
      </c>
      <c r="I16" s="37">
        <f>1222132.61+450000+450000</f>
        <v>2122132.6100000003</v>
      </c>
      <c r="J16" s="37"/>
      <c r="K16" s="37">
        <f t="shared" si="3"/>
        <v>43677633.719999999</v>
      </c>
      <c r="L16" s="62">
        <f t="shared" si="2"/>
        <v>1.6669917300540273E-2</v>
      </c>
      <c r="M16" s="39">
        <f t="shared" si="4"/>
        <v>0</v>
      </c>
    </row>
    <row r="17" spans="1:13" ht="25.5" customHeight="1" x14ac:dyDescent="0.2">
      <c r="A17" s="41" t="s">
        <v>74</v>
      </c>
      <c r="B17" s="37">
        <v>14750819</v>
      </c>
      <c r="C17" s="61">
        <v>8604644.5399999991</v>
      </c>
      <c r="D17" s="37">
        <v>10.119999999999999</v>
      </c>
      <c r="E17" s="37">
        <v>7568444.7300000004</v>
      </c>
      <c r="F17" s="40">
        <f t="shared" si="0"/>
        <v>0.87957668615094253</v>
      </c>
      <c r="G17" s="38">
        <f t="shared" si="1"/>
        <v>1036209.9299999987</v>
      </c>
      <c r="H17" s="37">
        <f>1057304.05</f>
        <v>1057304.05</v>
      </c>
      <c r="I17" s="37">
        <v>1670</v>
      </c>
      <c r="J17" s="42">
        <f>20459.73+2304.39</f>
        <v>22764.12</v>
      </c>
      <c r="K17" s="37">
        <f t="shared" si="3"/>
        <v>1036209.93</v>
      </c>
      <c r="L17" s="62">
        <f t="shared" si="2"/>
        <v>0.51308640760896063</v>
      </c>
      <c r="M17" s="39">
        <f t="shared" si="4"/>
        <v>1.3969838619232178E-9</v>
      </c>
    </row>
    <row r="18" spans="1:13" ht="25.5" customHeight="1" x14ac:dyDescent="0.2">
      <c r="A18" s="41" t="s">
        <v>78</v>
      </c>
      <c r="B18" s="37">
        <v>443091</v>
      </c>
      <c r="C18" s="61">
        <v>525494.53</v>
      </c>
      <c r="D18" s="37">
        <v>15.01</v>
      </c>
      <c r="E18" s="37">
        <v>474698.18</v>
      </c>
      <c r="F18" s="40">
        <f t="shared" si="0"/>
        <v>0.9033361013291612</v>
      </c>
      <c r="G18" s="38">
        <f t="shared" si="1"/>
        <v>50811.360000000037</v>
      </c>
      <c r="H18" s="37">
        <v>50811.360000000001</v>
      </c>
      <c r="I18" s="37"/>
      <c r="J18" s="37"/>
      <c r="K18" s="37">
        <f t="shared" si="3"/>
        <v>50811.360000000001</v>
      </c>
      <c r="L18" s="62">
        <f t="shared" si="2"/>
        <v>1.0713333829845337</v>
      </c>
      <c r="M18" s="39">
        <f t="shared" si="4"/>
        <v>0</v>
      </c>
    </row>
    <row r="19" spans="1:13" ht="25.5" customHeight="1" x14ac:dyDescent="0.2">
      <c r="A19" s="41" t="s">
        <v>75</v>
      </c>
      <c r="B19" s="37">
        <v>224421</v>
      </c>
      <c r="C19" s="61">
        <v>174671.13</v>
      </c>
      <c r="D19" s="37">
        <v>35.299999999999997</v>
      </c>
      <c r="E19" s="37">
        <v>152836.89000000001</v>
      </c>
      <c r="F19" s="40">
        <f t="shared" si="0"/>
        <v>0.87499800339071498</v>
      </c>
      <c r="G19" s="38">
        <f t="shared" si="1"/>
        <v>21869.53999999999</v>
      </c>
      <c r="H19" s="37">
        <f>21869.54</f>
        <v>21869.54</v>
      </c>
      <c r="I19" s="37"/>
      <c r="J19" s="37"/>
      <c r="K19" s="37">
        <f t="shared" si="3"/>
        <v>21869.54</v>
      </c>
      <c r="L19" s="62">
        <f t="shared" si="2"/>
        <v>0.68102757763310928</v>
      </c>
      <c r="M19" s="39">
        <f t="shared" si="4"/>
        <v>0</v>
      </c>
    </row>
    <row r="20" spans="1:13" ht="25.5" customHeight="1" x14ac:dyDescent="0.2">
      <c r="A20" s="41" t="s">
        <v>79</v>
      </c>
      <c r="B20" s="37">
        <v>696289</v>
      </c>
      <c r="C20" s="61">
        <v>385791.31</v>
      </c>
      <c r="D20" s="37">
        <v>9.8699999999999992</v>
      </c>
      <c r="E20" s="37">
        <f>168119.53</f>
        <v>168119.53</v>
      </c>
      <c r="F20" s="40">
        <f t="shared" si="0"/>
        <v>0.43577842642437953</v>
      </c>
      <c r="G20" s="38">
        <f t="shared" si="1"/>
        <v>217681.65</v>
      </c>
      <c r="H20" s="37">
        <f>217681.65</f>
        <v>217681.65</v>
      </c>
      <c r="I20" s="37"/>
      <c r="J20" s="37"/>
      <c r="K20" s="37">
        <f t="shared" si="3"/>
        <v>217681.65</v>
      </c>
      <c r="L20" s="62">
        <f t="shared" si="2"/>
        <v>0.24145079126627017</v>
      </c>
      <c r="M20" s="39">
        <f t="shared" si="4"/>
        <v>0</v>
      </c>
    </row>
    <row r="21" spans="1:13" ht="25.5" customHeight="1" x14ac:dyDescent="0.2">
      <c r="A21" s="41" t="s">
        <v>76</v>
      </c>
      <c r="B21" s="37">
        <v>853218</v>
      </c>
      <c r="C21" s="61">
        <v>479795.33</v>
      </c>
      <c r="D21" s="37">
        <v>142.79</v>
      </c>
      <c r="E21" s="37">
        <v>468439.03999999998</v>
      </c>
      <c r="F21" s="40">
        <f t="shared" si="0"/>
        <v>0.97633097012428183</v>
      </c>
      <c r="G21" s="38">
        <f t="shared" si="1"/>
        <v>11499.080000000038</v>
      </c>
      <c r="H21" s="37">
        <f>11499.08</f>
        <v>11499.08</v>
      </c>
      <c r="I21" s="37"/>
      <c r="J21" s="37"/>
      <c r="K21" s="37">
        <f t="shared" si="3"/>
        <v>11499.08</v>
      </c>
      <c r="L21" s="62">
        <f t="shared" si="2"/>
        <v>0.54902620432292804</v>
      </c>
      <c r="M21" s="39">
        <f t="shared" si="4"/>
        <v>-3.8198777474462986E-11</v>
      </c>
    </row>
    <row r="22" spans="1:13" ht="25.5" customHeight="1" x14ac:dyDescent="0.2">
      <c r="A22" s="41" t="s">
        <v>77</v>
      </c>
      <c r="B22" s="37">
        <v>43012</v>
      </c>
      <c r="C22" s="61">
        <v>25841.72</v>
      </c>
      <c r="D22" s="37">
        <v>3.02</v>
      </c>
      <c r="E22" s="37">
        <v>24000</v>
      </c>
      <c r="F22" s="40">
        <f t="shared" si="0"/>
        <v>0.928730750120348</v>
      </c>
      <c r="G22" s="38">
        <f t="shared" si="1"/>
        <v>1844.7400000000011</v>
      </c>
      <c r="H22" s="37">
        <f>1844.74</f>
        <v>1844.74</v>
      </c>
      <c r="I22" s="37"/>
      <c r="J22" s="37"/>
      <c r="K22" s="37">
        <f t="shared" si="3"/>
        <v>1844.74</v>
      </c>
      <c r="L22" s="62">
        <f t="shared" si="2"/>
        <v>0.55798381846926437</v>
      </c>
      <c r="M22" s="39">
        <f t="shared" si="4"/>
        <v>0</v>
      </c>
    </row>
    <row r="23" spans="1:13" ht="25.5" customHeight="1" x14ac:dyDescent="0.2">
      <c r="A23" s="41" t="s">
        <v>80</v>
      </c>
      <c r="B23" s="37">
        <v>720000</v>
      </c>
      <c r="C23" s="61">
        <v>0.1</v>
      </c>
      <c r="D23" s="37">
        <v>34.72</v>
      </c>
      <c r="E23" s="37">
        <v>0</v>
      </c>
      <c r="F23" s="40">
        <f t="shared" si="0"/>
        <v>0</v>
      </c>
      <c r="G23" s="38">
        <f t="shared" si="1"/>
        <v>34.82</v>
      </c>
      <c r="H23" s="37">
        <f>34.82</f>
        <v>34.82</v>
      </c>
      <c r="I23" s="37"/>
      <c r="J23" s="37"/>
      <c r="K23" s="37">
        <f t="shared" si="3"/>
        <v>34.82</v>
      </c>
      <c r="L23" s="62">
        <f t="shared" si="2"/>
        <v>0</v>
      </c>
      <c r="M23" s="39">
        <f t="shared" si="4"/>
        <v>0</v>
      </c>
    </row>
    <row r="24" spans="1:13" ht="25.5" customHeight="1" x14ac:dyDescent="0.2">
      <c r="A24" s="41" t="s">
        <v>82</v>
      </c>
      <c r="B24" s="37">
        <v>1800000</v>
      </c>
      <c r="C24" s="61">
        <v>1592970.1</v>
      </c>
      <c r="D24" s="37">
        <v>85.85</v>
      </c>
      <c r="E24" s="37">
        <f>1536530</f>
        <v>1536530</v>
      </c>
      <c r="F24" s="40">
        <f t="shared" si="0"/>
        <v>0.96456926592658576</v>
      </c>
      <c r="G24" s="38">
        <f t="shared" si="1"/>
        <v>56525.950000000092</v>
      </c>
      <c r="H24" s="37">
        <f>56525.95</f>
        <v>56525.95</v>
      </c>
      <c r="I24" s="37">
        <v>0</v>
      </c>
      <c r="J24" s="37"/>
      <c r="K24" s="37">
        <f t="shared" si="3"/>
        <v>56525.95</v>
      </c>
      <c r="L24" s="62">
        <f t="shared" si="2"/>
        <v>0.85362777777777776</v>
      </c>
      <c r="M24" s="39">
        <f t="shared" si="4"/>
        <v>-9.4587448984384537E-11</v>
      </c>
    </row>
    <row r="25" spans="1:13" ht="25.5" customHeight="1" x14ac:dyDescent="0.2">
      <c r="A25" s="41" t="s">
        <v>81</v>
      </c>
      <c r="B25" s="37">
        <v>700000</v>
      </c>
      <c r="C25" s="61">
        <v>416312.94</v>
      </c>
      <c r="D25" s="37">
        <v>227.19</v>
      </c>
      <c r="E25" s="37">
        <v>0</v>
      </c>
      <c r="F25" s="40">
        <f t="shared" si="0"/>
        <v>0</v>
      </c>
      <c r="G25" s="38">
        <f t="shared" si="1"/>
        <v>416540.13</v>
      </c>
      <c r="H25" s="37">
        <v>416540.13</v>
      </c>
      <c r="I25" s="37"/>
      <c r="J25" s="37"/>
      <c r="K25" s="37">
        <f t="shared" si="3"/>
        <v>416540.13</v>
      </c>
      <c r="L25" s="62">
        <f t="shared" si="2"/>
        <v>0</v>
      </c>
      <c r="M25" s="39">
        <f t="shared" si="4"/>
        <v>0</v>
      </c>
    </row>
    <row r="26" spans="1:13" ht="25.5" customHeight="1" x14ac:dyDescent="0.25">
      <c r="A26" s="34"/>
      <c r="B26" s="35"/>
      <c r="C26" s="35"/>
      <c r="D26" s="35"/>
      <c r="E26" s="37"/>
      <c r="F26" s="40"/>
      <c r="G26" s="38"/>
      <c r="H26" s="37"/>
      <c r="I26" s="37"/>
      <c r="J26" s="37"/>
      <c r="K26" s="37"/>
      <c r="L26" s="8"/>
    </row>
    <row r="27" spans="1:13" ht="25.5" customHeight="1" x14ac:dyDescent="0.25">
      <c r="A27" s="33"/>
      <c r="B27" s="36">
        <f t="shared" ref="B27:L27" si="5">SUM(B13:B26)</f>
        <v>123157809.43000001</v>
      </c>
      <c r="C27" s="36">
        <f t="shared" si="5"/>
        <v>81932730.069999978</v>
      </c>
      <c r="D27" s="36">
        <f t="shared" si="5"/>
        <v>26377.539999999997</v>
      </c>
      <c r="E27" s="36">
        <f>SUM(E13:E26)</f>
        <v>35201379.540000007</v>
      </c>
      <c r="F27" s="36">
        <f t="shared" si="5"/>
        <v>8.8598807728189932</v>
      </c>
      <c r="G27" s="36">
        <f t="shared" si="5"/>
        <v>46757728.07</v>
      </c>
      <c r="H27" s="36">
        <f t="shared" si="5"/>
        <v>44782114.390000001</v>
      </c>
      <c r="I27" s="36">
        <f t="shared" si="5"/>
        <v>2648819.6100000003</v>
      </c>
      <c r="J27" s="36">
        <f t="shared" si="5"/>
        <v>673205.93</v>
      </c>
      <c r="K27" s="36">
        <f t="shared" si="5"/>
        <v>46757728.07</v>
      </c>
      <c r="L27" s="36">
        <f t="shared" si="5"/>
        <v>6.0447750317062754</v>
      </c>
    </row>
    <row r="28" spans="1:13" ht="15.75" customHeight="1" x14ac:dyDescent="0.25">
      <c r="C28" s="9"/>
      <c r="D28" s="9"/>
      <c r="E28" s="39"/>
      <c r="G28" s="80"/>
      <c r="H28" s="39"/>
    </row>
    <row r="29" spans="1:13" ht="15.75" customHeight="1" x14ac:dyDescent="0.2">
      <c r="C29" s="91" t="s">
        <v>18</v>
      </c>
      <c r="D29" s="91"/>
      <c r="E29" s="91"/>
      <c r="F29" s="91"/>
      <c r="G29" s="91"/>
      <c r="H29" s="91"/>
      <c r="I29" s="91"/>
    </row>
    <row r="30" spans="1:13" ht="15.75" customHeight="1" x14ac:dyDescent="0.2">
      <c r="C30" s="77"/>
      <c r="D30" s="77"/>
      <c r="E30" s="77"/>
      <c r="F30" s="77"/>
      <c r="G30" s="77"/>
      <c r="H30" s="77"/>
      <c r="I30" s="77"/>
    </row>
    <row r="31" spans="1:13" ht="15.75" customHeight="1" x14ac:dyDescent="0.25">
      <c r="B31" s="99" t="s">
        <v>19</v>
      </c>
      <c r="C31" s="99"/>
      <c r="D31" s="100" t="s">
        <v>20</v>
      </c>
      <c r="E31" s="101"/>
      <c r="F31" s="102"/>
      <c r="G31" s="103" t="s">
        <v>21</v>
      </c>
      <c r="H31" s="103"/>
      <c r="I31" s="76" t="s">
        <v>9</v>
      </c>
    </row>
    <row r="32" spans="1:13" ht="15.75" customHeight="1" x14ac:dyDescent="0.25">
      <c r="B32" s="104" t="s">
        <v>22</v>
      </c>
      <c r="C32" s="104"/>
      <c r="D32" s="100"/>
      <c r="E32" s="101"/>
      <c r="F32" s="102"/>
      <c r="G32" s="105"/>
      <c r="H32" s="105"/>
      <c r="I32" s="10"/>
    </row>
    <row r="33" spans="1:11" ht="15.75" customHeight="1" x14ac:dyDescent="0.25">
      <c r="B33" s="107" t="s">
        <v>23</v>
      </c>
      <c r="C33" s="107"/>
      <c r="D33" s="108">
        <v>0</v>
      </c>
      <c r="E33" s="109"/>
      <c r="F33" s="110"/>
      <c r="G33" s="111">
        <v>0</v>
      </c>
      <c r="H33" s="111"/>
      <c r="I33" s="43">
        <v>0</v>
      </c>
    </row>
    <row r="34" spans="1:11" ht="15.75" customHeight="1" x14ac:dyDescent="0.25">
      <c r="B34" s="107" t="s">
        <v>24</v>
      </c>
      <c r="C34" s="107"/>
      <c r="D34" s="108">
        <v>2289355</v>
      </c>
      <c r="E34" s="109"/>
      <c r="F34" s="110"/>
      <c r="G34" s="111">
        <v>1195835.06</v>
      </c>
      <c r="H34" s="111"/>
      <c r="I34" s="43">
        <f>SUM(G34/D34)</f>
        <v>0.52234583976709603</v>
      </c>
    </row>
    <row r="35" spans="1:11" ht="15.75" customHeight="1" x14ac:dyDescent="0.25">
      <c r="B35" s="107" t="s">
        <v>25</v>
      </c>
      <c r="C35" s="107"/>
      <c r="D35" s="108">
        <v>0</v>
      </c>
      <c r="E35" s="109"/>
      <c r="F35" s="110"/>
      <c r="G35" s="111">
        <v>0</v>
      </c>
      <c r="H35" s="111"/>
      <c r="I35" s="43">
        <v>0</v>
      </c>
    </row>
    <row r="36" spans="1:11" ht="15.75" customHeight="1" x14ac:dyDescent="0.25">
      <c r="B36" s="11"/>
      <c r="C36" s="11"/>
      <c r="D36" s="11"/>
      <c r="E36" s="11"/>
      <c r="F36" s="11"/>
      <c r="G36" s="12"/>
      <c r="H36" s="12"/>
      <c r="I36" s="13"/>
    </row>
    <row r="37" spans="1:11" ht="15.75" customHeight="1" x14ac:dyDescent="0.2"/>
    <row r="38" spans="1:11" s="14" customFormat="1" ht="15.75" customHeight="1" x14ac:dyDescent="0.3">
      <c r="B38" s="112" t="s">
        <v>26</v>
      </c>
      <c r="C38" s="112"/>
      <c r="D38" s="75"/>
      <c r="G38" s="106" t="s">
        <v>27</v>
      </c>
      <c r="H38" s="106"/>
      <c r="J38" s="106" t="s">
        <v>28</v>
      </c>
      <c r="K38" s="106"/>
    </row>
    <row r="39" spans="1:11" s="14" customFormat="1" ht="15.75" customHeight="1" x14ac:dyDescent="0.3">
      <c r="B39" s="75"/>
      <c r="C39" s="75"/>
      <c r="D39" s="75"/>
      <c r="G39" s="74"/>
      <c r="H39" s="74"/>
      <c r="J39" s="74"/>
      <c r="K39" s="74"/>
    </row>
    <row r="40" spans="1:11" s="14" customFormat="1" ht="15.75" customHeight="1" x14ac:dyDescent="0.3">
      <c r="B40" s="113" t="s">
        <v>84</v>
      </c>
      <c r="C40" s="113"/>
      <c r="D40" s="75"/>
      <c r="F40" s="114" t="s">
        <v>29</v>
      </c>
      <c r="G40" s="114"/>
      <c r="H40" s="114"/>
      <c r="J40" s="114" t="s">
        <v>30</v>
      </c>
      <c r="K40" s="114"/>
    </row>
    <row r="41" spans="1:11" s="14" customFormat="1" ht="15.75" customHeight="1" x14ac:dyDescent="0.3">
      <c r="A41" s="15"/>
      <c r="B41" s="113" t="s">
        <v>85</v>
      </c>
      <c r="C41" s="113"/>
      <c r="D41" s="52"/>
      <c r="E41" s="16"/>
      <c r="F41" s="114" t="s">
        <v>31</v>
      </c>
      <c r="G41" s="114"/>
      <c r="H41" s="114"/>
      <c r="I41" s="17"/>
      <c r="J41" s="114" t="s">
        <v>32</v>
      </c>
      <c r="K41" s="114"/>
    </row>
    <row r="42" spans="1:11" s="14" customFormat="1" ht="15.75" customHeight="1" x14ac:dyDescent="0.3">
      <c r="A42" s="15"/>
      <c r="B42" s="115"/>
      <c r="C42" s="115"/>
      <c r="D42" s="72"/>
      <c r="G42" s="115"/>
      <c r="H42" s="115"/>
      <c r="J42" s="115"/>
      <c r="K42" s="115"/>
    </row>
    <row r="43" spans="1:11" ht="15.75" customHeight="1" x14ac:dyDescent="0.2">
      <c r="A43" s="5"/>
      <c r="B43" s="16"/>
      <c r="C43" s="16"/>
      <c r="D43" s="16"/>
      <c r="G43" s="16"/>
      <c r="H43" s="16"/>
      <c r="J43" s="16"/>
      <c r="K43" s="16"/>
    </row>
    <row r="44" spans="1:11" ht="15.75" customHeight="1" x14ac:dyDescent="0.2"/>
    <row r="45" spans="1:11" ht="15.75" customHeight="1" x14ac:dyDescent="0.2">
      <c r="A45" s="18" t="s">
        <v>70</v>
      </c>
      <c r="C45" s="79">
        <v>1430257.33</v>
      </c>
    </row>
    <row r="46" spans="1:11" x14ac:dyDescent="0.2">
      <c r="A46" s="18"/>
      <c r="C46" s="79">
        <v>10530.51</v>
      </c>
    </row>
    <row r="47" spans="1:11" x14ac:dyDescent="0.2">
      <c r="A47" s="18"/>
      <c r="C47" s="79">
        <v>25756.69</v>
      </c>
    </row>
    <row r="48" spans="1:11" x14ac:dyDescent="0.2">
      <c r="C48" s="79">
        <v>1078826.23</v>
      </c>
    </row>
    <row r="49" spans="1:12" ht="15.75" hidden="1" customHeight="1" x14ac:dyDescent="0.2">
      <c r="C49" s="79"/>
    </row>
    <row r="50" spans="1:12" ht="15.75" hidden="1" customHeight="1" x14ac:dyDescent="0.2">
      <c r="A50" s="1" t="s">
        <v>1</v>
      </c>
      <c r="C50" s="79"/>
    </row>
    <row r="51" spans="1:12" ht="15.75" hidden="1" customHeight="1" x14ac:dyDescent="0.2">
      <c r="C51" s="79"/>
    </row>
    <row r="52" spans="1:12" s="19" customFormat="1" ht="15.75" hidden="1" customHeight="1" x14ac:dyDescent="0.25">
      <c r="A52" s="1" t="s">
        <v>33</v>
      </c>
      <c r="B52" s="1"/>
      <c r="C52" s="79"/>
      <c r="D52" s="1"/>
      <c r="E52" s="1" t="s">
        <v>34</v>
      </c>
      <c r="F52" s="1"/>
      <c r="G52" s="1"/>
      <c r="H52" s="1"/>
      <c r="I52" s="1"/>
      <c r="J52" s="1"/>
      <c r="K52" s="1"/>
      <c r="L52" s="1"/>
    </row>
    <row r="53" spans="1:12" ht="15.75" hidden="1" customHeight="1" x14ac:dyDescent="0.2">
      <c r="C53" s="79"/>
    </row>
    <row r="54" spans="1:12" ht="15.75" hidden="1" customHeight="1" x14ac:dyDescent="0.2">
      <c r="A54" s="1" t="s">
        <v>35</v>
      </c>
      <c r="C54" s="79"/>
      <c r="E54" s="1" t="s">
        <v>36</v>
      </c>
    </row>
    <row r="55" spans="1:12" ht="5.0999999999999996" hidden="1" customHeight="1" x14ac:dyDescent="0.2">
      <c r="C55" s="79"/>
    </row>
    <row r="56" spans="1:12" ht="15.75" hidden="1" customHeight="1" x14ac:dyDescent="0.2">
      <c r="A56" s="1" t="s">
        <v>37</v>
      </c>
      <c r="C56" s="79"/>
      <c r="E56" s="1" t="s">
        <v>38</v>
      </c>
    </row>
    <row r="57" spans="1:12" ht="5.0999999999999996" hidden="1" customHeight="1" x14ac:dyDescent="0.2">
      <c r="C57" s="79"/>
    </row>
    <row r="58" spans="1:12" ht="15.75" hidden="1" customHeight="1" x14ac:dyDescent="0.2">
      <c r="A58" s="1" t="s">
        <v>39</v>
      </c>
      <c r="C58" s="79"/>
      <c r="E58" s="1" t="s">
        <v>40</v>
      </c>
    </row>
    <row r="59" spans="1:12" ht="5.0999999999999996" hidden="1" customHeight="1" x14ac:dyDescent="0.2">
      <c r="C59" s="79"/>
    </row>
    <row r="60" spans="1:12" ht="47.25" hidden="1" customHeight="1" x14ac:dyDescent="0.2">
      <c r="A60" s="1" t="s">
        <v>41</v>
      </c>
      <c r="C60" s="79"/>
      <c r="E60" s="1" t="s">
        <v>42</v>
      </c>
    </row>
    <row r="61" spans="1:12" ht="5.0999999999999996" hidden="1" customHeight="1" x14ac:dyDescent="0.2">
      <c r="C61" s="79"/>
    </row>
    <row r="62" spans="1:12" ht="47.25" hidden="1" customHeight="1" x14ac:dyDescent="0.2">
      <c r="A62" s="1" t="s">
        <v>43</v>
      </c>
      <c r="C62" s="79"/>
      <c r="E62" s="1" t="s">
        <v>44</v>
      </c>
    </row>
    <row r="63" spans="1:12" ht="5.0999999999999996" hidden="1" customHeight="1" x14ac:dyDescent="0.2">
      <c r="C63" s="79"/>
    </row>
    <row r="64" spans="1:12" ht="49.5" hidden="1" customHeight="1" x14ac:dyDescent="0.2">
      <c r="A64" s="1" t="s">
        <v>7</v>
      </c>
      <c r="C64" s="79"/>
      <c r="E64" s="1" t="s">
        <v>45</v>
      </c>
    </row>
    <row r="65" spans="1:5" ht="5.0999999999999996" hidden="1" customHeight="1" x14ac:dyDescent="0.2">
      <c r="C65" s="79"/>
    </row>
    <row r="66" spans="1:5" ht="49.5" hidden="1" customHeight="1" x14ac:dyDescent="0.2">
      <c r="A66" s="1" t="s">
        <v>46</v>
      </c>
      <c r="C66" s="79"/>
      <c r="E66" s="1" t="s">
        <v>47</v>
      </c>
    </row>
    <row r="67" spans="1:5" ht="5.0999999999999996" hidden="1" customHeight="1" x14ac:dyDescent="0.2">
      <c r="C67" s="79"/>
    </row>
    <row r="68" spans="1:5" ht="30.75" hidden="1" customHeight="1" x14ac:dyDescent="0.2">
      <c r="A68" s="1" t="s">
        <v>9</v>
      </c>
      <c r="C68" s="79"/>
      <c r="E68" s="1" t="s">
        <v>48</v>
      </c>
    </row>
    <row r="69" spans="1:5" ht="5.0999999999999996" hidden="1" customHeight="1" x14ac:dyDescent="0.2">
      <c r="C69" s="79"/>
    </row>
    <row r="70" spans="1:5" ht="15.75" hidden="1" customHeight="1" x14ac:dyDescent="0.2">
      <c r="A70" s="1" t="s">
        <v>49</v>
      </c>
      <c r="C70" s="79"/>
      <c r="E70" s="1" t="s">
        <v>50</v>
      </c>
    </row>
    <row r="71" spans="1:5" ht="5.0999999999999996" hidden="1" customHeight="1" x14ac:dyDescent="0.2">
      <c r="C71" s="79"/>
    </row>
    <row r="72" spans="1:5" ht="15.75" hidden="1" customHeight="1" x14ac:dyDescent="0.2">
      <c r="A72" s="1" t="s">
        <v>51</v>
      </c>
      <c r="C72" s="79"/>
      <c r="E72" s="1" t="s">
        <v>52</v>
      </c>
    </row>
    <row r="73" spans="1:5" ht="5.0999999999999996" hidden="1" customHeight="1" x14ac:dyDescent="0.2">
      <c r="C73" s="79"/>
    </row>
    <row r="74" spans="1:5" ht="15.75" hidden="1" customHeight="1" x14ac:dyDescent="0.2">
      <c r="A74" s="1" t="s">
        <v>53</v>
      </c>
      <c r="C74" s="79"/>
      <c r="E74" s="1" t="s">
        <v>54</v>
      </c>
    </row>
    <row r="75" spans="1:5" ht="5.0999999999999996" hidden="1" customHeight="1" x14ac:dyDescent="0.2">
      <c r="C75" s="79"/>
    </row>
    <row r="76" spans="1:5" ht="15.75" hidden="1" customHeight="1" x14ac:dyDescent="0.2">
      <c r="A76" s="1" t="s">
        <v>55</v>
      </c>
      <c r="C76" s="79"/>
      <c r="E76" s="1" t="s">
        <v>56</v>
      </c>
    </row>
    <row r="77" spans="1:5" ht="5.0999999999999996" hidden="1" customHeight="1" x14ac:dyDescent="0.2">
      <c r="C77" s="79"/>
    </row>
    <row r="78" spans="1:5" ht="15.75" hidden="1" customHeight="1" x14ac:dyDescent="0.2">
      <c r="A78" s="1" t="s">
        <v>57</v>
      </c>
      <c r="C78" s="79"/>
      <c r="E78" s="1" t="s">
        <v>58</v>
      </c>
    </row>
    <row r="79" spans="1:5" ht="5.0999999999999996" hidden="1" customHeight="1" x14ac:dyDescent="0.2">
      <c r="C79" s="79"/>
    </row>
    <row r="80" spans="1:5" ht="37.5" hidden="1" customHeight="1" x14ac:dyDescent="0.2">
      <c r="A80" s="1" t="s">
        <v>59</v>
      </c>
      <c r="C80" s="79"/>
      <c r="E80" s="1" t="s">
        <v>60</v>
      </c>
    </row>
    <row r="81" spans="1:5" ht="5.0999999999999996" hidden="1" customHeight="1" x14ac:dyDescent="0.2">
      <c r="C81" s="79"/>
    </row>
    <row r="82" spans="1:5" ht="15.75" hidden="1" customHeight="1" x14ac:dyDescent="0.2">
      <c r="A82" s="1" t="s">
        <v>61</v>
      </c>
      <c r="C82" s="79"/>
      <c r="E82" s="1" t="s">
        <v>62</v>
      </c>
    </row>
    <row r="83" spans="1:5" ht="5.0999999999999996" hidden="1" customHeight="1" x14ac:dyDescent="0.2">
      <c r="C83" s="79"/>
    </row>
    <row r="84" spans="1:5" ht="15.75" hidden="1" customHeight="1" x14ac:dyDescent="0.2">
      <c r="A84" s="1" t="s">
        <v>63</v>
      </c>
      <c r="C84" s="79"/>
      <c r="E84" s="1" t="s">
        <v>64</v>
      </c>
    </row>
    <row r="85" spans="1:5" ht="5.0999999999999996" hidden="1" customHeight="1" x14ac:dyDescent="0.2">
      <c r="C85" s="79"/>
    </row>
    <row r="86" spans="1:5" ht="15.75" hidden="1" customHeight="1" x14ac:dyDescent="0.2">
      <c r="A86" s="1" t="s">
        <v>65</v>
      </c>
      <c r="C86" s="79"/>
      <c r="E86" s="1" t="s">
        <v>66</v>
      </c>
    </row>
    <row r="87" spans="1:5" ht="5.0999999999999996" hidden="1" customHeight="1" x14ac:dyDescent="0.2">
      <c r="C87" s="79"/>
    </row>
    <row r="88" spans="1:5" ht="15.75" hidden="1" customHeight="1" x14ac:dyDescent="0.2">
      <c r="A88" s="1" t="s">
        <v>67</v>
      </c>
      <c r="C88" s="79"/>
      <c r="E88" s="1" t="s">
        <v>68</v>
      </c>
    </row>
    <row r="89" spans="1:5" ht="5.0999999999999996" hidden="1" customHeight="1" x14ac:dyDescent="0.2">
      <c r="C89" s="79"/>
    </row>
    <row r="90" spans="1:5" ht="15.75" hidden="1" customHeight="1" x14ac:dyDescent="0.2">
      <c r="A90" s="1" t="s">
        <v>15</v>
      </c>
      <c r="C90" s="79"/>
      <c r="E90" s="1" t="s">
        <v>69</v>
      </c>
    </row>
    <row r="91" spans="1:5" ht="12.75" hidden="1" customHeight="1" x14ac:dyDescent="0.2">
      <c r="C91" s="79"/>
    </row>
    <row r="92" spans="1:5" ht="12.75" hidden="1" customHeight="1" x14ac:dyDescent="0.2">
      <c r="C92" s="79"/>
    </row>
    <row r="93" spans="1:5" ht="12.75" hidden="1" customHeight="1" x14ac:dyDescent="0.2">
      <c r="C93" s="79"/>
    </row>
    <row r="94" spans="1:5" ht="12.75" hidden="1" customHeight="1" x14ac:dyDescent="0.2">
      <c r="C94" s="79"/>
    </row>
    <row r="95" spans="1:5" x14ac:dyDescent="0.2">
      <c r="C95" s="79">
        <v>3479.05</v>
      </c>
    </row>
    <row r="96" spans="1:5" x14ac:dyDescent="0.2">
      <c r="C96" s="79">
        <v>5190.6099999999997</v>
      </c>
    </row>
    <row r="97" spans="3:3" x14ac:dyDescent="0.2">
      <c r="C97" s="79">
        <v>76579.149999999994</v>
      </c>
    </row>
    <row r="98" spans="3:3" x14ac:dyDescent="0.2">
      <c r="C98" s="79">
        <v>727325.12</v>
      </c>
    </row>
    <row r="99" spans="3:3" x14ac:dyDescent="0.2">
      <c r="C99" s="79">
        <v>10432824.439999999</v>
      </c>
    </row>
    <row r="100" spans="3:3" x14ac:dyDescent="0.2">
      <c r="C100" s="79">
        <v>990095.98</v>
      </c>
    </row>
    <row r="101" spans="3:3" x14ac:dyDescent="0.2">
      <c r="C101" s="79">
        <v>77.709999999999994</v>
      </c>
    </row>
    <row r="102" spans="3:3" x14ac:dyDescent="0.2">
      <c r="C102" s="79">
        <v>927380.62</v>
      </c>
    </row>
    <row r="103" spans="3:3" x14ac:dyDescent="0.2">
      <c r="C103" s="79">
        <v>368.47</v>
      </c>
    </row>
    <row r="104" spans="3:3" x14ac:dyDescent="0.2">
      <c r="C104" s="79">
        <v>4974.55</v>
      </c>
    </row>
    <row r="105" spans="3:3" x14ac:dyDescent="0.2">
      <c r="C105" s="79">
        <f>SUM(C45:C104)</f>
        <v>15713666.460000001</v>
      </c>
    </row>
    <row r="106" spans="3:3" x14ac:dyDescent="0.2">
      <c r="C106" s="79">
        <f>SUM(D27)</f>
        <v>26377.539999999997</v>
      </c>
    </row>
    <row r="107" spans="3:3" x14ac:dyDescent="0.2">
      <c r="C107" s="39">
        <f>SUM(C27)</f>
        <v>81932730.069999978</v>
      </c>
    </row>
    <row r="108" spans="3:3" x14ac:dyDescent="0.2">
      <c r="C108" s="39">
        <f>SUM(C105:C107)</f>
        <v>97672774.069999978</v>
      </c>
    </row>
    <row r="109" spans="3:3" x14ac:dyDescent="0.2">
      <c r="C109" s="79">
        <v>97672773.069999993</v>
      </c>
    </row>
    <row r="110" spans="3:3" x14ac:dyDescent="0.2">
      <c r="C110" s="39">
        <f>SUM(C108-C109)</f>
        <v>0.99999998509883881</v>
      </c>
    </row>
  </sheetData>
  <mergeCells count="43">
    <mergeCell ref="B42:C42"/>
    <mergeCell ref="G42:H42"/>
    <mergeCell ref="J42:K42"/>
    <mergeCell ref="B40:C40"/>
    <mergeCell ref="F40:H40"/>
    <mergeCell ref="J40:K40"/>
    <mergeCell ref="B41:C41"/>
    <mergeCell ref="F41:H41"/>
    <mergeCell ref="J41:K41"/>
    <mergeCell ref="J38:K38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B38:C38"/>
    <mergeCell ref="G38:H38"/>
    <mergeCell ref="B31:C31"/>
    <mergeCell ref="D31:F31"/>
    <mergeCell ref="G31:H31"/>
    <mergeCell ref="B32:C32"/>
    <mergeCell ref="D32:F32"/>
    <mergeCell ref="G32:H32"/>
    <mergeCell ref="C29:I29"/>
    <mergeCell ref="A4:L4"/>
    <mergeCell ref="A6:L6"/>
    <mergeCell ref="C10:G10"/>
    <mergeCell ref="H10:K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</mergeCells>
  <pageMargins left="0.62992125984251968" right="0.62992125984251968" top="0.19685039370078741" bottom="0.19685039370078741" header="0" footer="0"/>
  <pageSetup scale="60" fitToHeight="2" orientation="landscape" blackAndWhite="1" r:id="rId1"/>
  <headerFooter alignWithMargins="0">
    <oddFooter>&amp;R</oddFooter>
  </headerFooter>
  <rowBreaks count="1" manualBreakCount="1">
    <brk id="4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4:M113"/>
  <sheetViews>
    <sheetView tabSelected="1" topLeftCell="A9" zoomScale="110" zoomScaleNormal="110" zoomScaleSheetLayoutView="100" workbookViewId="0">
      <pane xSplit="3" ySplit="3" topLeftCell="D12" activePane="bottomRight" state="frozen"/>
      <selection activeCell="A9" sqref="A9"/>
      <selection pane="topRight" activeCell="D9" sqref="D9"/>
      <selection pane="bottomLeft" activeCell="A12" sqref="A12"/>
      <selection pane="bottomRight" activeCell="J13" sqref="J13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" customWidth="1"/>
    <col min="8" max="9" width="13.7109375" style="1" customWidth="1"/>
    <col min="10" max="11" width="14.28515625" style="1" customWidth="1"/>
    <col min="12" max="12" width="8.28515625" style="1" customWidth="1"/>
    <col min="13" max="16384" width="11.42578125" style="1"/>
  </cols>
  <sheetData>
    <row r="4" spans="1:13" ht="15.75" customHeight="1" x14ac:dyDescent="0.25">
      <c r="A4" s="92" t="s">
        <v>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3" ht="15.75" customHeight="1" x14ac:dyDescent="0.25">
      <c r="A5" s="125" t="s">
        <v>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13" ht="15.75" customHeight="1" x14ac:dyDescent="0.25">
      <c r="A6" s="88"/>
      <c r="B6" s="88"/>
      <c r="C6" s="88"/>
      <c r="D6" s="88"/>
      <c r="E6" s="88" t="s">
        <v>83</v>
      </c>
      <c r="F6" s="88"/>
      <c r="G6" s="88"/>
      <c r="H6" s="88"/>
      <c r="I6" s="88"/>
      <c r="J6" s="88"/>
      <c r="K6" s="88"/>
      <c r="L6" s="88"/>
    </row>
    <row r="7" spans="1:13" ht="15.75" customHeight="1" x14ac:dyDescent="0.2"/>
    <row r="8" spans="1:13" ht="15.75" customHeight="1" x14ac:dyDescent="0.2">
      <c r="B8" s="5"/>
      <c r="C8" s="5"/>
      <c r="D8" s="5"/>
      <c r="E8" s="6"/>
      <c r="F8" s="6"/>
      <c r="G8" s="6"/>
    </row>
    <row r="9" spans="1:13" ht="15.75" customHeight="1" x14ac:dyDescent="0.25">
      <c r="A9" s="71" t="s">
        <v>90</v>
      </c>
      <c r="C9" s="93" t="s">
        <v>2</v>
      </c>
      <c r="D9" s="93"/>
      <c r="E9" s="94"/>
      <c r="F9" s="94"/>
      <c r="G9" s="94"/>
      <c r="H9" s="93" t="s">
        <v>3</v>
      </c>
      <c r="I9" s="93"/>
      <c r="J9" s="93"/>
      <c r="K9" s="93"/>
    </row>
    <row r="10" spans="1:13" ht="15.75" customHeight="1" x14ac:dyDescent="0.25">
      <c r="A10" s="95" t="s">
        <v>4</v>
      </c>
      <c r="B10" s="97" t="s">
        <v>5</v>
      </c>
      <c r="C10" s="97" t="s">
        <v>6</v>
      </c>
      <c r="D10" s="97" t="s">
        <v>7</v>
      </c>
      <c r="E10" s="98" t="s">
        <v>8</v>
      </c>
      <c r="F10" s="98" t="s">
        <v>9</v>
      </c>
      <c r="G10" s="95" t="s">
        <v>10</v>
      </c>
      <c r="H10" s="98" t="s">
        <v>11</v>
      </c>
      <c r="I10" s="98" t="s">
        <v>12</v>
      </c>
      <c r="J10" s="98" t="s">
        <v>13</v>
      </c>
      <c r="K10" s="98" t="s">
        <v>14</v>
      </c>
      <c r="L10" s="82" t="s">
        <v>15</v>
      </c>
    </row>
    <row r="11" spans="1:13" ht="25.5" customHeight="1" x14ac:dyDescent="0.2">
      <c r="A11" s="96"/>
      <c r="B11" s="97"/>
      <c r="C11" s="97"/>
      <c r="D11" s="97"/>
      <c r="E11" s="98"/>
      <c r="F11" s="98"/>
      <c r="G11" s="96"/>
      <c r="H11" s="98"/>
      <c r="I11" s="98"/>
      <c r="J11" s="98"/>
      <c r="K11" s="98"/>
      <c r="L11" s="7" t="s">
        <v>16</v>
      </c>
    </row>
    <row r="12" spans="1:13" ht="25.5" customHeight="1" x14ac:dyDescent="0.2">
      <c r="A12" s="41" t="s">
        <v>71</v>
      </c>
      <c r="B12" s="37">
        <v>4897707.0199999996</v>
      </c>
      <c r="C12" s="61">
        <f>2749073.99-164787.83</f>
        <v>2584286.16</v>
      </c>
      <c r="D12" s="37">
        <v>0</v>
      </c>
      <c r="E12" s="37">
        <f>2549516.31</f>
        <v>2549516.31</v>
      </c>
      <c r="F12" s="40">
        <f>+E12/C12</f>
        <v>0.98654566567039925</v>
      </c>
      <c r="G12" s="38">
        <f>+C12-E12+D12</f>
        <v>34769.850000000093</v>
      </c>
      <c r="H12" s="37">
        <f>12792.1+41641.29</f>
        <v>54433.39</v>
      </c>
      <c r="I12" s="37">
        <f>679.59+900</f>
        <v>1579.5900000000001</v>
      </c>
      <c r="J12" s="37">
        <f>600+600+600.62+2400+1200+600+15242.51</f>
        <v>21243.13</v>
      </c>
      <c r="K12" s="37">
        <f>+H12+I12-J12</f>
        <v>34769.849999999991</v>
      </c>
      <c r="L12" s="62">
        <f>E12/C12</f>
        <v>0.98654566567039925</v>
      </c>
      <c r="M12" s="87">
        <f>+K12-G12</f>
        <v>-1.0186340659856796E-10</v>
      </c>
    </row>
    <row r="13" spans="1:13" ht="25.5" customHeight="1" x14ac:dyDescent="0.2">
      <c r="A13" s="41" t="s">
        <v>72</v>
      </c>
      <c r="B13" s="37">
        <v>24923915.41</v>
      </c>
      <c r="C13" s="61">
        <f>28297724.81+1445014.59</f>
        <v>29742739.399999999</v>
      </c>
      <c r="D13" s="37">
        <f>21657.79+162969.78</f>
        <v>184627.57</v>
      </c>
      <c r="E13" s="37">
        <v>28948499.510000002</v>
      </c>
      <c r="F13" s="40">
        <f t="shared" ref="F13:F24" si="0">+E13/C13</f>
        <v>0.97329634371203899</v>
      </c>
      <c r="G13" s="38">
        <f t="shared" ref="G13:G24" si="1">+C13-E13+D13</f>
        <v>978867.45999999694</v>
      </c>
      <c r="H13" s="37">
        <v>1439782.5</v>
      </c>
      <c r="I13" s="37">
        <f>12+6709.88</f>
        <v>6721.88</v>
      </c>
      <c r="J13" s="37">
        <f>396386.81+2756-4-2+51968+14500.11+2032</f>
        <v>467636.92</v>
      </c>
      <c r="K13" s="37">
        <f>+H13+I13-J13</f>
        <v>978867.46</v>
      </c>
      <c r="L13" s="62">
        <f t="shared" ref="L13:L24" si="2">E13/C13</f>
        <v>0.97329634371203899</v>
      </c>
      <c r="M13" s="39">
        <f>+K13-G13</f>
        <v>3.0267983675003052E-9</v>
      </c>
    </row>
    <row r="14" spans="1:13" ht="25.5" customHeight="1" x14ac:dyDescent="0.2">
      <c r="A14" s="41" t="s">
        <v>17</v>
      </c>
      <c r="B14" s="37">
        <v>13117037</v>
      </c>
      <c r="C14" s="61">
        <v>13993837.550000001</v>
      </c>
      <c r="D14" s="37">
        <v>4140.5600000000004</v>
      </c>
      <c r="E14" s="37">
        <v>13417709.16</v>
      </c>
      <c r="F14" s="40">
        <f t="shared" si="0"/>
        <v>0.95882985007211263</v>
      </c>
      <c r="G14" s="38">
        <f t="shared" si="1"/>
        <v>580268.95000000065</v>
      </c>
      <c r="H14" s="37">
        <v>575818.63</v>
      </c>
      <c r="I14" s="37">
        <f>25000+51968+1400</f>
        <v>78368</v>
      </c>
      <c r="J14" s="37">
        <f>73899.68+1+17</f>
        <v>73917.679999999993</v>
      </c>
      <c r="K14" s="37">
        <f t="shared" ref="K14:K24" si="3">+H14+I14-J14</f>
        <v>580268.94999999995</v>
      </c>
      <c r="L14" s="62">
        <f t="shared" si="2"/>
        <v>0.95882985007211263</v>
      </c>
      <c r="M14" s="39">
        <f t="shared" ref="M14:M24" si="4">+K14-G14</f>
        <v>0</v>
      </c>
    </row>
    <row r="15" spans="1:13" ht="25.5" customHeight="1" x14ac:dyDescent="0.2">
      <c r="A15" s="41" t="s">
        <v>73</v>
      </c>
      <c r="B15" s="37">
        <v>59988300</v>
      </c>
      <c r="C15" s="61">
        <v>63825169.100000001</v>
      </c>
      <c r="D15" s="37">
        <v>15.32</v>
      </c>
      <c r="E15" s="37">
        <v>36827871.289999999</v>
      </c>
      <c r="F15" s="40">
        <f t="shared" si="0"/>
        <v>0.57701173078443124</v>
      </c>
      <c r="G15" s="38">
        <f>+C15-E15+D15</f>
        <v>26997313.130000003</v>
      </c>
      <c r="H15" s="37">
        <v>21908344.57</v>
      </c>
      <c r="I15" s="37">
        <v>5088968.5599999996</v>
      </c>
      <c r="J15" s="37"/>
      <c r="K15" s="37">
        <f t="shared" si="3"/>
        <v>26997313.129999999</v>
      </c>
      <c r="L15" s="62">
        <f t="shared" si="2"/>
        <v>0.57701173078443124</v>
      </c>
      <c r="M15" s="39">
        <f t="shared" si="4"/>
        <v>0</v>
      </c>
    </row>
    <row r="16" spans="1:13" ht="25.5" customHeight="1" x14ac:dyDescent="0.2">
      <c r="A16" s="41" t="s">
        <v>74</v>
      </c>
      <c r="B16" s="37">
        <v>14750819</v>
      </c>
      <c r="C16" s="61">
        <v>14750819.119999999</v>
      </c>
      <c r="D16" s="37">
        <f>10.12+0.06</f>
        <v>10.18</v>
      </c>
      <c r="E16" s="37">
        <v>14047590.17</v>
      </c>
      <c r="F16" s="40">
        <f t="shared" si="0"/>
        <v>0.95232610851782995</v>
      </c>
      <c r="G16" s="38">
        <f t="shared" si="1"/>
        <v>703239.12999999931</v>
      </c>
      <c r="H16" s="37">
        <v>218632.49</v>
      </c>
      <c r="I16" s="37">
        <f>1670+11900.44+322500.11+210000</f>
        <v>546070.55000000005</v>
      </c>
      <c r="J16" s="37">
        <f>59163.91+900+1400</f>
        <v>61463.91</v>
      </c>
      <c r="K16" s="37">
        <f t="shared" si="3"/>
        <v>703239.13</v>
      </c>
      <c r="L16" s="62">
        <f t="shared" si="2"/>
        <v>0.95232610851782995</v>
      </c>
      <c r="M16" s="39">
        <f t="shared" si="4"/>
        <v>0</v>
      </c>
    </row>
    <row r="17" spans="1:13" ht="25.5" customHeight="1" x14ac:dyDescent="0.2">
      <c r="A17" s="41" t="s">
        <v>78</v>
      </c>
      <c r="B17" s="37">
        <v>443091</v>
      </c>
      <c r="C17" s="61">
        <v>843694.22</v>
      </c>
      <c r="D17" s="37">
        <f>15.01+139.62</f>
        <v>154.63</v>
      </c>
      <c r="E17" s="37">
        <v>817798.49999999988</v>
      </c>
      <c r="F17" s="40">
        <f t="shared" si="0"/>
        <v>0.96930674717671994</v>
      </c>
      <c r="G17" s="38">
        <f t="shared" si="1"/>
        <v>26050.350000000089</v>
      </c>
      <c r="H17" s="37">
        <v>37950.79</v>
      </c>
      <c r="I17" s="37"/>
      <c r="J17" s="37">
        <v>11900.44</v>
      </c>
      <c r="K17" s="37">
        <f t="shared" si="3"/>
        <v>26050.35</v>
      </c>
      <c r="L17" s="62">
        <f t="shared" si="2"/>
        <v>0.96930674717671994</v>
      </c>
      <c r="M17" s="39">
        <f t="shared" si="4"/>
        <v>-9.0949470177292824E-11</v>
      </c>
    </row>
    <row r="18" spans="1:13" ht="25.5" customHeight="1" x14ac:dyDescent="0.2">
      <c r="A18" s="41" t="s">
        <v>75</v>
      </c>
      <c r="B18" s="37">
        <v>224421</v>
      </c>
      <c r="C18" s="61">
        <v>278734.53000000003</v>
      </c>
      <c r="D18" s="37">
        <f>35.3+112.42</f>
        <v>147.72</v>
      </c>
      <c r="E18" s="37">
        <v>277424.89999999997</v>
      </c>
      <c r="F18" s="40">
        <f t="shared" si="0"/>
        <v>0.99530151502937203</v>
      </c>
      <c r="G18" s="38">
        <f t="shared" si="1"/>
        <v>1457.3500000000629</v>
      </c>
      <c r="H18" s="37">
        <v>1457.35</v>
      </c>
      <c r="I18" s="37"/>
      <c r="J18" s="37"/>
      <c r="K18" s="37">
        <f t="shared" si="3"/>
        <v>1457.35</v>
      </c>
      <c r="L18" s="62">
        <f t="shared" si="2"/>
        <v>0.99530151502937203</v>
      </c>
      <c r="M18" s="39">
        <f t="shared" si="4"/>
        <v>-6.298250809777528E-11</v>
      </c>
    </row>
    <row r="19" spans="1:13" ht="25.5" customHeight="1" x14ac:dyDescent="0.2">
      <c r="A19" s="41" t="s">
        <v>79</v>
      </c>
      <c r="B19" s="37">
        <v>696289</v>
      </c>
      <c r="C19" s="61">
        <v>765515.57000000007</v>
      </c>
      <c r="D19" s="37">
        <f>9.87+391.27</f>
        <v>401.14</v>
      </c>
      <c r="E19" s="37">
        <v>718692.31</v>
      </c>
      <c r="F19" s="40">
        <f t="shared" si="0"/>
        <v>0.93883434663517029</v>
      </c>
      <c r="G19" s="38">
        <f t="shared" si="1"/>
        <v>47224.400000000009</v>
      </c>
      <c r="H19" s="37">
        <v>355224.4</v>
      </c>
      <c r="I19" s="37"/>
      <c r="J19" s="37">
        <v>308000</v>
      </c>
      <c r="K19" s="37">
        <f t="shared" si="3"/>
        <v>47224.400000000023</v>
      </c>
      <c r="L19" s="62">
        <f t="shared" si="2"/>
        <v>0.93883434663517029</v>
      </c>
      <c r="M19" s="39">
        <f t="shared" si="4"/>
        <v>0</v>
      </c>
    </row>
    <row r="20" spans="1:13" ht="25.5" customHeight="1" x14ac:dyDescent="0.2">
      <c r="A20" s="41" t="s">
        <v>76</v>
      </c>
      <c r="B20" s="37">
        <v>853218</v>
      </c>
      <c r="C20" s="61">
        <v>830532.14</v>
      </c>
      <c r="D20" s="37">
        <f>142.79+437.88</f>
        <v>580.66999999999996</v>
      </c>
      <c r="E20" s="37">
        <v>823400.12999999989</v>
      </c>
      <c r="F20" s="40">
        <f t="shared" si="0"/>
        <v>0.99141272245045187</v>
      </c>
      <c r="G20" s="38">
        <f t="shared" si="1"/>
        <v>7712.6800000001258</v>
      </c>
      <c r="H20" s="37">
        <v>7712.68</v>
      </c>
      <c r="I20" s="37"/>
      <c r="J20" s="37"/>
      <c r="K20" s="37">
        <f t="shared" si="3"/>
        <v>7712.68</v>
      </c>
      <c r="L20" s="62">
        <f t="shared" si="2"/>
        <v>0.99141272245045187</v>
      </c>
      <c r="M20" s="39">
        <f t="shared" si="4"/>
        <v>-1.255102688446641E-10</v>
      </c>
    </row>
    <row r="21" spans="1:13" ht="25.5" customHeight="1" x14ac:dyDescent="0.2">
      <c r="A21" s="41" t="s">
        <v>77</v>
      </c>
      <c r="B21" s="37">
        <v>43012</v>
      </c>
      <c r="C21" s="61">
        <v>44300.02</v>
      </c>
      <c r="D21" s="37">
        <f>3.02+16.16</f>
        <v>19.18</v>
      </c>
      <c r="E21" s="37">
        <v>44282.340000000004</v>
      </c>
      <c r="F21" s="40">
        <f t="shared" si="0"/>
        <v>0.99960090311471661</v>
      </c>
      <c r="G21" s="38">
        <f t="shared" si="1"/>
        <v>36.859999999993015</v>
      </c>
      <c r="H21" s="37">
        <v>36.86</v>
      </c>
      <c r="I21" s="37"/>
      <c r="J21" s="37"/>
      <c r="K21" s="37">
        <f t="shared" si="3"/>
        <v>36.86</v>
      </c>
      <c r="L21" s="62">
        <f t="shared" si="2"/>
        <v>0.99960090311471661</v>
      </c>
      <c r="M21" s="39">
        <f t="shared" si="4"/>
        <v>6.9846350925217848E-12</v>
      </c>
    </row>
    <row r="22" spans="1:13" ht="25.5" customHeight="1" x14ac:dyDescent="0.2">
      <c r="A22" s="41" t="s">
        <v>80</v>
      </c>
      <c r="B22" s="37">
        <v>720000</v>
      </c>
      <c r="C22" s="61">
        <v>0.1</v>
      </c>
      <c r="D22" s="37">
        <v>34.72</v>
      </c>
      <c r="E22" s="37">
        <v>0</v>
      </c>
      <c r="F22" s="40">
        <f t="shared" si="0"/>
        <v>0</v>
      </c>
      <c r="G22" s="38">
        <f t="shared" si="1"/>
        <v>34.82</v>
      </c>
      <c r="H22" s="37">
        <v>34.82</v>
      </c>
      <c r="I22" s="37"/>
      <c r="J22" s="37"/>
      <c r="K22" s="37">
        <f t="shared" si="3"/>
        <v>34.82</v>
      </c>
      <c r="L22" s="62">
        <f t="shared" si="2"/>
        <v>0</v>
      </c>
      <c r="M22" s="39">
        <f t="shared" si="4"/>
        <v>0</v>
      </c>
    </row>
    <row r="23" spans="1:13" ht="25.5" customHeight="1" x14ac:dyDescent="0.2">
      <c r="A23" s="41" t="s">
        <v>82</v>
      </c>
      <c r="B23" s="37">
        <v>1800000</v>
      </c>
      <c r="C23" s="61">
        <v>3056716.1</v>
      </c>
      <c r="D23" s="37">
        <f>85.85+89.89</f>
        <v>175.74</v>
      </c>
      <c r="E23" s="37">
        <v>3048273.4</v>
      </c>
      <c r="F23" s="40">
        <f t="shared" si="0"/>
        <v>0.99723798359945814</v>
      </c>
      <c r="G23" s="38">
        <f t="shared" si="1"/>
        <v>8618.440000000186</v>
      </c>
      <c r="H23" s="37">
        <v>8618.44</v>
      </c>
      <c r="I23" s="37">
        <v>0</v>
      </c>
      <c r="J23" s="37"/>
      <c r="K23" s="37">
        <f t="shared" si="3"/>
        <v>8618.44</v>
      </c>
      <c r="L23" s="62">
        <f t="shared" si="2"/>
        <v>0.99723798359945814</v>
      </c>
      <c r="M23" s="39">
        <f t="shared" si="4"/>
        <v>-1.8553691916167736E-10</v>
      </c>
    </row>
    <row r="24" spans="1:13" ht="25.5" customHeight="1" x14ac:dyDescent="0.2">
      <c r="A24" s="41" t="s">
        <v>81</v>
      </c>
      <c r="B24" s="37">
        <v>700000</v>
      </c>
      <c r="C24" s="61">
        <v>665988.48</v>
      </c>
      <c r="D24" s="37">
        <f>227.19+423.63</f>
        <v>650.81999999999994</v>
      </c>
      <c r="E24" s="37">
        <v>0</v>
      </c>
      <c r="F24" s="40">
        <f t="shared" si="0"/>
        <v>0</v>
      </c>
      <c r="G24" s="38">
        <f t="shared" si="1"/>
        <v>666639.29999999993</v>
      </c>
      <c r="H24" s="37">
        <v>666639.30000000005</v>
      </c>
      <c r="I24" s="37"/>
      <c r="J24" s="37"/>
      <c r="K24" s="37">
        <f t="shared" si="3"/>
        <v>666639.30000000005</v>
      </c>
      <c r="L24" s="62">
        <f t="shared" si="2"/>
        <v>0</v>
      </c>
      <c r="M24" s="39">
        <f t="shared" si="4"/>
        <v>0</v>
      </c>
    </row>
    <row r="25" spans="1:13" ht="25.5" customHeight="1" x14ac:dyDescent="0.25">
      <c r="A25" s="34"/>
      <c r="B25" s="35"/>
      <c r="C25" s="35"/>
      <c r="D25" s="35"/>
      <c r="E25" s="37"/>
      <c r="F25" s="40"/>
      <c r="G25" s="38"/>
      <c r="H25" s="37"/>
      <c r="I25" s="37"/>
      <c r="J25" s="37"/>
      <c r="K25" s="37"/>
      <c r="L25" s="8"/>
    </row>
    <row r="26" spans="1:13" ht="25.5" customHeight="1" x14ac:dyDescent="0.25">
      <c r="A26" s="33"/>
      <c r="B26" s="36">
        <f t="shared" ref="B26:L26" si="5">SUM(B12:B25)</f>
        <v>123157809.43000001</v>
      </c>
      <c r="C26" s="36">
        <f t="shared" si="5"/>
        <v>131382332.48999999</v>
      </c>
      <c r="D26" s="36">
        <f t="shared" si="5"/>
        <v>190958.25000000003</v>
      </c>
      <c r="E26" s="36">
        <f>SUM(E12:E25)</f>
        <v>101521058.02000003</v>
      </c>
      <c r="F26" s="36">
        <f t="shared" si="5"/>
        <v>10.339703916762701</v>
      </c>
      <c r="G26" s="36">
        <f t="shared" si="5"/>
        <v>30052232.720000003</v>
      </c>
      <c r="H26" s="36">
        <f t="shared" si="5"/>
        <v>25274686.219999999</v>
      </c>
      <c r="I26" s="36">
        <f t="shared" si="5"/>
        <v>5721708.5799999991</v>
      </c>
      <c r="J26" s="36">
        <f t="shared" si="5"/>
        <v>944162.08</v>
      </c>
      <c r="K26" s="36">
        <f t="shared" si="5"/>
        <v>30052232.720000003</v>
      </c>
      <c r="L26" s="36">
        <f t="shared" si="5"/>
        <v>10.339703916762701</v>
      </c>
    </row>
    <row r="27" spans="1:13" ht="15.75" customHeight="1" x14ac:dyDescent="0.25">
      <c r="C27" s="9"/>
      <c r="D27" s="9"/>
      <c r="E27" s="39"/>
      <c r="G27" s="80"/>
      <c r="H27" s="39"/>
    </row>
    <row r="28" spans="1:13" ht="15.75" customHeight="1" x14ac:dyDescent="0.2">
      <c r="C28" s="91" t="s">
        <v>18</v>
      </c>
      <c r="D28" s="91"/>
      <c r="E28" s="91"/>
      <c r="F28" s="91"/>
      <c r="G28" s="91"/>
      <c r="H28" s="91"/>
      <c r="I28" s="91"/>
    </row>
    <row r="29" spans="1:13" ht="15.75" customHeight="1" x14ac:dyDescent="0.2">
      <c r="C29" s="81"/>
      <c r="D29" s="81"/>
      <c r="E29" s="81"/>
      <c r="F29" s="81"/>
      <c r="G29" s="81"/>
      <c r="H29" s="81"/>
      <c r="I29" s="81"/>
    </row>
    <row r="30" spans="1:13" ht="15.75" customHeight="1" x14ac:dyDescent="0.25">
      <c r="B30" s="99" t="s">
        <v>19</v>
      </c>
      <c r="C30" s="99"/>
      <c r="D30" s="100" t="s">
        <v>20</v>
      </c>
      <c r="E30" s="101"/>
      <c r="F30" s="102"/>
      <c r="G30" s="103" t="s">
        <v>21</v>
      </c>
      <c r="H30" s="103"/>
      <c r="I30" s="83" t="s">
        <v>9</v>
      </c>
    </row>
    <row r="31" spans="1:13" ht="15.75" customHeight="1" x14ac:dyDescent="0.25">
      <c r="B31" s="104" t="s">
        <v>22</v>
      </c>
      <c r="C31" s="104"/>
      <c r="D31" s="100"/>
      <c r="E31" s="101"/>
      <c r="F31" s="102"/>
      <c r="G31" s="105"/>
      <c r="H31" s="105"/>
      <c r="I31" s="10"/>
    </row>
    <row r="32" spans="1:13" ht="15.75" customHeight="1" x14ac:dyDescent="0.25">
      <c r="B32" s="107" t="s">
        <v>23</v>
      </c>
      <c r="C32" s="107"/>
      <c r="D32" s="108">
        <v>0</v>
      </c>
      <c r="E32" s="109"/>
      <c r="F32" s="110"/>
      <c r="G32" s="111">
        <v>0</v>
      </c>
      <c r="H32" s="111"/>
      <c r="I32" s="43">
        <v>0</v>
      </c>
    </row>
    <row r="33" spans="1:11" ht="15.75" customHeight="1" x14ac:dyDescent="0.25">
      <c r="B33" s="107" t="s">
        <v>24</v>
      </c>
      <c r="C33" s="107"/>
      <c r="D33" s="108">
        <v>2525713.04</v>
      </c>
      <c r="E33" s="109"/>
      <c r="F33" s="110"/>
      <c r="G33" s="111">
        <v>2525713.04</v>
      </c>
      <c r="H33" s="111"/>
      <c r="I33" s="43">
        <f>SUM(G33/D33)</f>
        <v>1</v>
      </c>
    </row>
    <row r="34" spans="1:11" ht="15.75" customHeight="1" x14ac:dyDescent="0.25">
      <c r="B34" s="107" t="s">
        <v>25</v>
      </c>
      <c r="C34" s="107"/>
      <c r="D34" s="108">
        <v>0</v>
      </c>
      <c r="E34" s="109"/>
      <c r="F34" s="110"/>
      <c r="G34" s="111">
        <v>0</v>
      </c>
      <c r="H34" s="111"/>
      <c r="I34" s="43">
        <v>0</v>
      </c>
    </row>
    <row r="35" spans="1:11" ht="15.75" customHeight="1" x14ac:dyDescent="0.25">
      <c r="B35" s="11"/>
      <c r="C35" s="11"/>
      <c r="D35" s="11"/>
      <c r="E35" s="11"/>
      <c r="F35" s="11"/>
      <c r="G35" s="12"/>
      <c r="H35" s="12"/>
      <c r="I35" s="13"/>
    </row>
    <row r="36" spans="1:11" ht="15.75" customHeight="1" x14ac:dyDescent="0.25">
      <c r="B36" s="11"/>
      <c r="C36" s="11"/>
      <c r="D36" s="11"/>
      <c r="E36" s="11"/>
      <c r="F36" s="11"/>
      <c r="G36" s="12"/>
      <c r="H36" s="12"/>
      <c r="I36" s="13"/>
    </row>
    <row r="37" spans="1:11" ht="15.75" customHeight="1" x14ac:dyDescent="0.25">
      <c r="B37" s="11"/>
      <c r="C37" s="11"/>
      <c r="D37" s="11"/>
      <c r="E37" s="11"/>
      <c r="F37" s="11"/>
      <c r="G37" s="12"/>
      <c r="H37" s="12"/>
      <c r="I37" s="13"/>
    </row>
    <row r="38" spans="1:11" ht="15.75" customHeight="1" x14ac:dyDescent="0.2"/>
    <row r="39" spans="1:11" s="14" customFormat="1" ht="15.75" customHeight="1" x14ac:dyDescent="0.3">
      <c r="B39" s="112" t="s">
        <v>26</v>
      </c>
      <c r="C39" s="112"/>
      <c r="D39" s="85"/>
      <c r="G39" s="106" t="s">
        <v>27</v>
      </c>
      <c r="H39" s="106"/>
      <c r="J39" s="106" t="s">
        <v>28</v>
      </c>
      <c r="K39" s="106"/>
    </row>
    <row r="40" spans="1:11" s="14" customFormat="1" ht="15.75" customHeight="1" x14ac:dyDescent="0.3">
      <c r="B40" s="90"/>
      <c r="C40" s="90"/>
      <c r="D40" s="90"/>
      <c r="G40" s="89"/>
      <c r="H40" s="89"/>
      <c r="J40" s="89"/>
      <c r="K40" s="89"/>
    </row>
    <row r="41" spans="1:11" s="14" customFormat="1" ht="15.75" customHeight="1" x14ac:dyDescent="0.3">
      <c r="B41" s="90"/>
      <c r="C41" s="90"/>
      <c r="D41" s="90"/>
      <c r="G41" s="89"/>
      <c r="H41" s="89"/>
      <c r="J41" s="89"/>
      <c r="K41" s="89"/>
    </row>
    <row r="42" spans="1:11" s="14" customFormat="1" ht="15.75" customHeight="1" x14ac:dyDescent="0.3">
      <c r="B42" s="85"/>
      <c r="C42" s="85"/>
      <c r="D42" s="85"/>
      <c r="G42" s="84"/>
      <c r="H42" s="84"/>
      <c r="J42" s="84"/>
      <c r="K42" s="84"/>
    </row>
    <row r="43" spans="1:11" s="14" customFormat="1" ht="15.75" customHeight="1" x14ac:dyDescent="0.3">
      <c r="B43" s="113" t="s">
        <v>84</v>
      </c>
      <c r="C43" s="113"/>
      <c r="D43" s="85"/>
      <c r="F43" s="17" t="s">
        <v>29</v>
      </c>
      <c r="G43" s="17"/>
      <c r="H43" s="17"/>
      <c r="J43" s="114" t="s">
        <v>30</v>
      </c>
      <c r="K43" s="114"/>
    </row>
    <row r="44" spans="1:11" s="14" customFormat="1" ht="15.75" customHeight="1" x14ac:dyDescent="0.3">
      <c r="A44" s="15"/>
      <c r="B44" s="113" t="s">
        <v>85</v>
      </c>
      <c r="C44" s="113"/>
      <c r="D44" s="52"/>
      <c r="E44" s="16"/>
      <c r="F44" s="114" t="s">
        <v>31</v>
      </c>
      <c r="G44" s="114"/>
      <c r="H44" s="114"/>
      <c r="I44" s="17"/>
      <c r="J44" s="114" t="s">
        <v>32</v>
      </c>
      <c r="K44" s="114"/>
    </row>
    <row r="45" spans="1:11" s="14" customFormat="1" ht="15.75" customHeight="1" x14ac:dyDescent="0.3">
      <c r="A45" s="15"/>
      <c r="B45" s="115"/>
      <c r="C45" s="115"/>
      <c r="D45" s="86"/>
      <c r="G45" s="115"/>
      <c r="H45" s="115"/>
      <c r="J45" s="115"/>
      <c r="K45" s="115"/>
    </row>
    <row r="46" spans="1:11" ht="15.75" customHeight="1" x14ac:dyDescent="0.2">
      <c r="A46" s="5"/>
      <c r="B46" s="16"/>
      <c r="C46" s="16"/>
      <c r="D46" s="16"/>
      <c r="G46" s="16"/>
      <c r="H46" s="16"/>
      <c r="J46" s="16"/>
      <c r="K46" s="16"/>
    </row>
    <row r="47" spans="1:11" ht="15.75" customHeight="1" x14ac:dyDescent="0.2"/>
    <row r="48" spans="1:11" ht="15.75" customHeight="1" x14ac:dyDescent="0.2">
      <c r="A48" s="18" t="s">
        <v>70</v>
      </c>
      <c r="C48" s="79">
        <v>1430257.33</v>
      </c>
    </row>
    <row r="49" spans="1:12" x14ac:dyDescent="0.2">
      <c r="A49" s="18"/>
      <c r="C49" s="79">
        <v>10530.51</v>
      </c>
    </row>
    <row r="50" spans="1:12" x14ac:dyDescent="0.2">
      <c r="A50" s="18"/>
      <c r="C50" s="79">
        <v>25756.69</v>
      </c>
    </row>
    <row r="51" spans="1:12" x14ac:dyDescent="0.2">
      <c r="C51" s="79">
        <v>1078826.23</v>
      </c>
    </row>
    <row r="52" spans="1:12" ht="15.75" hidden="1" customHeight="1" x14ac:dyDescent="0.2">
      <c r="C52" s="79"/>
    </row>
    <row r="53" spans="1:12" ht="15.75" hidden="1" customHeight="1" x14ac:dyDescent="0.2">
      <c r="A53" s="1" t="s">
        <v>1</v>
      </c>
      <c r="C53" s="79"/>
    </row>
    <row r="54" spans="1:12" ht="15.75" hidden="1" customHeight="1" x14ac:dyDescent="0.2">
      <c r="C54" s="79"/>
    </row>
    <row r="55" spans="1:12" s="19" customFormat="1" ht="15.75" hidden="1" customHeight="1" x14ac:dyDescent="0.25">
      <c r="A55" s="1" t="s">
        <v>33</v>
      </c>
      <c r="B55" s="1"/>
      <c r="C55" s="79"/>
      <c r="D55" s="1"/>
      <c r="E55" s="1" t="s">
        <v>34</v>
      </c>
      <c r="F55" s="1"/>
      <c r="G55" s="1"/>
      <c r="H55" s="1"/>
      <c r="I55" s="1"/>
      <c r="J55" s="1"/>
      <c r="K55" s="1"/>
      <c r="L55" s="1"/>
    </row>
    <row r="56" spans="1:12" ht="15.75" hidden="1" customHeight="1" x14ac:dyDescent="0.2">
      <c r="C56" s="79"/>
    </row>
    <row r="57" spans="1:12" ht="15.75" hidden="1" customHeight="1" x14ac:dyDescent="0.2">
      <c r="A57" s="1" t="s">
        <v>35</v>
      </c>
      <c r="C57" s="79"/>
      <c r="E57" s="1" t="s">
        <v>36</v>
      </c>
    </row>
    <row r="58" spans="1:12" ht="5.0999999999999996" hidden="1" customHeight="1" x14ac:dyDescent="0.2">
      <c r="C58" s="79"/>
    </row>
    <row r="59" spans="1:12" ht="15.75" hidden="1" customHeight="1" x14ac:dyDescent="0.2">
      <c r="A59" s="1" t="s">
        <v>37</v>
      </c>
      <c r="C59" s="79"/>
      <c r="E59" s="1" t="s">
        <v>38</v>
      </c>
    </row>
    <row r="60" spans="1:12" ht="5.0999999999999996" hidden="1" customHeight="1" x14ac:dyDescent="0.2">
      <c r="C60" s="79"/>
    </row>
    <row r="61" spans="1:12" ht="15.75" hidden="1" customHeight="1" x14ac:dyDescent="0.2">
      <c r="A61" s="1" t="s">
        <v>39</v>
      </c>
      <c r="C61" s="79"/>
      <c r="E61" s="1" t="s">
        <v>40</v>
      </c>
    </row>
    <row r="62" spans="1:12" ht="5.0999999999999996" hidden="1" customHeight="1" x14ac:dyDescent="0.2">
      <c r="C62" s="79"/>
    </row>
    <row r="63" spans="1:12" ht="47.25" hidden="1" customHeight="1" x14ac:dyDescent="0.2">
      <c r="A63" s="1" t="s">
        <v>41</v>
      </c>
      <c r="C63" s="79"/>
      <c r="E63" s="1" t="s">
        <v>42</v>
      </c>
    </row>
    <row r="64" spans="1:12" ht="5.0999999999999996" hidden="1" customHeight="1" x14ac:dyDescent="0.2">
      <c r="C64" s="79"/>
    </row>
    <row r="65" spans="1:5" ht="47.25" hidden="1" customHeight="1" x14ac:dyDescent="0.2">
      <c r="A65" s="1" t="s">
        <v>43</v>
      </c>
      <c r="C65" s="79"/>
      <c r="E65" s="1" t="s">
        <v>44</v>
      </c>
    </row>
    <row r="66" spans="1:5" ht="5.0999999999999996" hidden="1" customHeight="1" x14ac:dyDescent="0.2">
      <c r="C66" s="79"/>
    </row>
    <row r="67" spans="1:5" ht="49.5" hidden="1" customHeight="1" x14ac:dyDescent="0.2">
      <c r="A67" s="1" t="s">
        <v>7</v>
      </c>
      <c r="C67" s="79"/>
      <c r="E67" s="1" t="s">
        <v>45</v>
      </c>
    </row>
    <row r="68" spans="1:5" ht="5.0999999999999996" hidden="1" customHeight="1" x14ac:dyDescent="0.2">
      <c r="C68" s="79"/>
    </row>
    <row r="69" spans="1:5" ht="49.5" hidden="1" customHeight="1" x14ac:dyDescent="0.2">
      <c r="A69" s="1" t="s">
        <v>46</v>
      </c>
      <c r="C69" s="79"/>
      <c r="E69" s="1" t="s">
        <v>47</v>
      </c>
    </row>
    <row r="70" spans="1:5" ht="5.0999999999999996" hidden="1" customHeight="1" x14ac:dyDescent="0.2">
      <c r="C70" s="79"/>
    </row>
    <row r="71" spans="1:5" ht="30.75" hidden="1" customHeight="1" x14ac:dyDescent="0.2">
      <c r="A71" s="1" t="s">
        <v>9</v>
      </c>
      <c r="C71" s="79"/>
      <c r="E71" s="1" t="s">
        <v>48</v>
      </c>
    </row>
    <row r="72" spans="1:5" ht="5.0999999999999996" hidden="1" customHeight="1" x14ac:dyDescent="0.2">
      <c r="C72" s="79"/>
    </row>
    <row r="73" spans="1:5" ht="15.75" hidden="1" customHeight="1" x14ac:dyDescent="0.2">
      <c r="A73" s="1" t="s">
        <v>49</v>
      </c>
      <c r="C73" s="79"/>
      <c r="E73" s="1" t="s">
        <v>50</v>
      </c>
    </row>
    <row r="74" spans="1:5" ht="5.0999999999999996" hidden="1" customHeight="1" x14ac:dyDescent="0.2">
      <c r="C74" s="79"/>
    </row>
    <row r="75" spans="1:5" ht="15.75" hidden="1" customHeight="1" x14ac:dyDescent="0.2">
      <c r="A75" s="1" t="s">
        <v>51</v>
      </c>
      <c r="C75" s="79"/>
      <c r="E75" s="1" t="s">
        <v>52</v>
      </c>
    </row>
    <row r="76" spans="1:5" ht="5.0999999999999996" hidden="1" customHeight="1" x14ac:dyDescent="0.2">
      <c r="C76" s="79"/>
    </row>
    <row r="77" spans="1:5" ht="15.75" hidden="1" customHeight="1" x14ac:dyDescent="0.2">
      <c r="A77" s="1" t="s">
        <v>53</v>
      </c>
      <c r="C77" s="79"/>
      <c r="E77" s="1" t="s">
        <v>54</v>
      </c>
    </row>
    <row r="78" spans="1:5" ht="5.0999999999999996" hidden="1" customHeight="1" x14ac:dyDescent="0.2">
      <c r="C78" s="79"/>
    </row>
    <row r="79" spans="1:5" ht="15.75" hidden="1" customHeight="1" x14ac:dyDescent="0.2">
      <c r="A79" s="1" t="s">
        <v>55</v>
      </c>
      <c r="C79" s="79"/>
      <c r="E79" s="1" t="s">
        <v>56</v>
      </c>
    </row>
    <row r="80" spans="1:5" ht="5.0999999999999996" hidden="1" customHeight="1" x14ac:dyDescent="0.2">
      <c r="C80" s="79"/>
    </row>
    <row r="81" spans="1:5" ht="15.75" hidden="1" customHeight="1" x14ac:dyDescent="0.2">
      <c r="A81" s="1" t="s">
        <v>57</v>
      </c>
      <c r="C81" s="79"/>
      <c r="E81" s="1" t="s">
        <v>58</v>
      </c>
    </row>
    <row r="82" spans="1:5" ht="5.0999999999999996" hidden="1" customHeight="1" x14ac:dyDescent="0.2">
      <c r="C82" s="79"/>
    </row>
    <row r="83" spans="1:5" ht="37.5" hidden="1" customHeight="1" x14ac:dyDescent="0.2">
      <c r="A83" s="1" t="s">
        <v>59</v>
      </c>
      <c r="C83" s="79"/>
      <c r="E83" s="1" t="s">
        <v>60</v>
      </c>
    </row>
    <row r="84" spans="1:5" ht="5.0999999999999996" hidden="1" customHeight="1" x14ac:dyDescent="0.2">
      <c r="C84" s="79"/>
    </row>
    <row r="85" spans="1:5" ht="15.75" hidden="1" customHeight="1" x14ac:dyDescent="0.2">
      <c r="A85" s="1" t="s">
        <v>61</v>
      </c>
      <c r="C85" s="79"/>
      <c r="E85" s="1" t="s">
        <v>62</v>
      </c>
    </row>
    <row r="86" spans="1:5" ht="5.0999999999999996" hidden="1" customHeight="1" x14ac:dyDescent="0.2">
      <c r="C86" s="79"/>
    </row>
    <row r="87" spans="1:5" ht="15.75" hidden="1" customHeight="1" x14ac:dyDescent="0.2">
      <c r="A87" s="1" t="s">
        <v>63</v>
      </c>
      <c r="C87" s="79"/>
      <c r="E87" s="1" t="s">
        <v>64</v>
      </c>
    </row>
    <row r="88" spans="1:5" ht="5.0999999999999996" hidden="1" customHeight="1" x14ac:dyDescent="0.2">
      <c r="C88" s="79"/>
    </row>
    <row r="89" spans="1:5" ht="15.75" hidden="1" customHeight="1" x14ac:dyDescent="0.2">
      <c r="A89" s="1" t="s">
        <v>65</v>
      </c>
      <c r="C89" s="79"/>
      <c r="E89" s="1" t="s">
        <v>66</v>
      </c>
    </row>
    <row r="90" spans="1:5" ht="5.0999999999999996" hidden="1" customHeight="1" x14ac:dyDescent="0.2">
      <c r="C90" s="79"/>
    </row>
    <row r="91" spans="1:5" ht="15.75" hidden="1" customHeight="1" x14ac:dyDescent="0.2">
      <c r="A91" s="1" t="s">
        <v>67</v>
      </c>
      <c r="C91" s="79"/>
      <c r="E91" s="1" t="s">
        <v>68</v>
      </c>
    </row>
    <row r="92" spans="1:5" ht="5.0999999999999996" hidden="1" customHeight="1" x14ac:dyDescent="0.2">
      <c r="C92" s="79"/>
    </row>
    <row r="93" spans="1:5" ht="15.75" hidden="1" customHeight="1" x14ac:dyDescent="0.2">
      <c r="A93" s="1" t="s">
        <v>15</v>
      </c>
      <c r="C93" s="79"/>
      <c r="E93" s="1" t="s">
        <v>69</v>
      </c>
    </row>
    <row r="94" spans="1:5" ht="12.75" hidden="1" customHeight="1" x14ac:dyDescent="0.2">
      <c r="C94" s="79"/>
    </row>
    <row r="95" spans="1:5" ht="12.75" hidden="1" customHeight="1" x14ac:dyDescent="0.2">
      <c r="C95" s="79"/>
    </row>
    <row r="96" spans="1:5" ht="12.75" hidden="1" customHeight="1" x14ac:dyDescent="0.2">
      <c r="C96" s="79"/>
    </row>
    <row r="97" spans="3:4" ht="12.75" hidden="1" customHeight="1" x14ac:dyDescent="0.2">
      <c r="C97" s="79"/>
    </row>
    <row r="98" spans="3:4" x14ac:dyDescent="0.2">
      <c r="C98" s="79">
        <v>3479.05</v>
      </c>
    </row>
    <row r="99" spans="3:4" x14ac:dyDescent="0.2">
      <c r="C99" s="79">
        <v>5190.6099999999997</v>
      </c>
    </row>
    <row r="100" spans="3:4" x14ac:dyDescent="0.2">
      <c r="C100" s="79">
        <v>76578.149999999994</v>
      </c>
    </row>
    <row r="101" spans="3:4" x14ac:dyDescent="0.2">
      <c r="C101" s="79">
        <v>727325.12</v>
      </c>
    </row>
    <row r="102" spans="3:4" x14ac:dyDescent="0.2">
      <c r="C102" s="79">
        <v>10432824.439999999</v>
      </c>
    </row>
    <row r="103" spans="3:4" x14ac:dyDescent="0.2">
      <c r="C103" s="79">
        <v>990095.98</v>
      </c>
    </row>
    <row r="104" spans="3:4" x14ac:dyDescent="0.2">
      <c r="C104" s="79">
        <v>77.709999999999994</v>
      </c>
    </row>
    <row r="105" spans="3:4" x14ac:dyDescent="0.2">
      <c r="C105" s="79">
        <v>927380.62</v>
      </c>
    </row>
    <row r="106" spans="3:4" x14ac:dyDescent="0.2">
      <c r="C106" s="79">
        <v>368.47</v>
      </c>
    </row>
    <row r="107" spans="3:4" x14ac:dyDescent="0.2">
      <c r="C107" s="79">
        <v>4974.55</v>
      </c>
    </row>
    <row r="108" spans="3:4" x14ac:dyDescent="0.2">
      <c r="C108" s="79">
        <f>SUM(C48:C107)</f>
        <v>15713665.460000001</v>
      </c>
    </row>
    <row r="109" spans="3:4" x14ac:dyDescent="0.2">
      <c r="C109" s="79">
        <f>SUM(D26)</f>
        <v>190958.25000000003</v>
      </c>
    </row>
    <row r="110" spans="3:4" x14ac:dyDescent="0.2">
      <c r="C110" s="39">
        <f>SUM(C26)</f>
        <v>131382332.48999999</v>
      </c>
      <c r="D110" s="39">
        <f>SUM(C26)</f>
        <v>131382332.48999999</v>
      </c>
    </row>
    <row r="111" spans="3:4" x14ac:dyDescent="0.2">
      <c r="C111" s="39">
        <f>SUM(C108:C110)</f>
        <v>147286956.19999999</v>
      </c>
      <c r="D111" s="79">
        <v>120459758.11</v>
      </c>
    </row>
    <row r="112" spans="3:4" x14ac:dyDescent="0.2">
      <c r="C112" s="79">
        <v>120459758.11</v>
      </c>
      <c r="D112" s="39">
        <f>SUM(D111-D110)</f>
        <v>-10922574.379999995</v>
      </c>
    </row>
    <row r="113" spans="3:4" x14ac:dyDescent="0.2">
      <c r="C113" s="39">
        <f>SUM(C111-C112)</f>
        <v>26827198.089999989</v>
      </c>
      <c r="D113" s="39">
        <f>SUM(D112-C109)</f>
        <v>-11113532.629999995</v>
      </c>
    </row>
  </sheetData>
  <mergeCells count="42">
    <mergeCell ref="C28:I28"/>
    <mergeCell ref="A4:L4"/>
    <mergeCell ref="C9:G9"/>
    <mergeCell ref="H9:K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B30:C30"/>
    <mergeCell ref="D30:F30"/>
    <mergeCell ref="G30:H30"/>
    <mergeCell ref="B31:C31"/>
    <mergeCell ref="D31:F31"/>
    <mergeCell ref="G31:H31"/>
    <mergeCell ref="B34:C34"/>
    <mergeCell ref="D34:F34"/>
    <mergeCell ref="G34:H34"/>
    <mergeCell ref="B39:C39"/>
    <mergeCell ref="G39:H39"/>
    <mergeCell ref="A5:L5"/>
    <mergeCell ref="B45:C45"/>
    <mergeCell ref="G45:H45"/>
    <mergeCell ref="J45:K45"/>
    <mergeCell ref="B43:C43"/>
    <mergeCell ref="J43:K43"/>
    <mergeCell ref="B44:C44"/>
    <mergeCell ref="F44:H44"/>
    <mergeCell ref="J44:K44"/>
    <mergeCell ref="J39:K39"/>
    <mergeCell ref="B32:C32"/>
    <mergeCell ref="D32:F32"/>
    <mergeCell ref="G32:H32"/>
    <mergeCell ref="B33:C33"/>
    <mergeCell ref="D33:F33"/>
    <mergeCell ref="G33:H33"/>
  </mergeCells>
  <pageMargins left="0.62992125984251968" right="0.43307086614173229" top="0.19685039370078741" bottom="0.19685039370078741" header="0" footer="0"/>
  <pageSetup scale="70" fitToHeight="2" orientation="landscape" blackAndWhite="1" r:id="rId1"/>
  <headerFooter alignWithMargins="0">
    <oddFooter>&amp;R</oddFooter>
  </headerFooter>
  <rowBreaks count="1" manualBreakCount="1">
    <brk id="4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FR-02-Abril-2019</vt:lpstr>
      <vt:lpstr>FR-02-Mayo-2019</vt:lpstr>
      <vt:lpstr>FR-02-Jun-2019</vt:lpstr>
      <vt:lpstr>FR-02-JUL-2019</vt:lpstr>
      <vt:lpstr>FR-02-DIC-2019</vt:lpstr>
      <vt:lpstr>'FR-02-Abril-2019'!Área_de_impresión</vt:lpstr>
      <vt:lpstr>'FR-02-DIC-2019'!Área_de_impresión</vt:lpstr>
      <vt:lpstr>'FR-02-JUL-2019'!Área_de_impresión</vt:lpstr>
      <vt:lpstr>'FR-02-Jun-2019'!Área_de_impresión</vt:lpstr>
      <vt:lpstr>'FR-02-Mayo-2019'!Área_de_impresión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Tesoreria02</dc:creator>
  <cp:lastModifiedBy>Usuario de Windows</cp:lastModifiedBy>
  <cp:lastPrinted>2020-03-25T01:42:36Z</cp:lastPrinted>
  <dcterms:created xsi:type="dcterms:W3CDTF">2017-04-30T23:12:03Z</dcterms:created>
  <dcterms:modified xsi:type="dcterms:W3CDTF">2020-03-25T01:47:19Z</dcterms:modified>
</cp:coreProperties>
</file>